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 NEW REQUESTS\US DOT RAISE 2022\Working Docs\Supplementary Attachments\"/>
    </mc:Choice>
  </mc:AlternateContent>
  <bookViews>
    <workbookView xWindow="-120" yWindow="-120" windowWidth="29040" windowHeight="15840" tabRatio="662" activeTab="1"/>
  </bookViews>
  <sheets>
    <sheet name="SF424C" sheetId="11" r:id="rId1"/>
    <sheet name="Summary" sheetId="3" r:id="rId2"/>
    <sheet name="Year by Year" sheetId="10" r:id="rId3"/>
    <sheet name="Pathway to Wellness" sheetId="6" r:id="rId4"/>
    <sheet name="Hwy 8 Re-Grade" sheetId="5" r:id="rId5"/>
    <sheet name="Stone Lake Pathway" sheetId="7" r:id="rId6"/>
    <sheet name="Stone Lake ATV Trail" sheetId="9" r:id="rId7"/>
  </sheets>
  <externalReferences>
    <externalReference r:id="rId8"/>
    <externalReference r:id="rId9"/>
  </externalReferences>
  <definedNames>
    <definedName name="id">'[1]PULL DOWNS - DO NOT DELETE'!$B$3:$B$63</definedName>
    <definedName name="_xlnm.Print_Area" localSheetId="4">'Hwy 8 Re-Grade'!$C$1:$H$20</definedName>
    <definedName name="_xlnm.Print_Area" localSheetId="3">'Pathway to Wellness'!$A$1:$Q$8</definedName>
    <definedName name="_xlnm.Print_Area" localSheetId="6">'Stone Lake ATV Trail'!$A$1:$I$5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E18" i="3" l="1"/>
  <c r="D18" i="3"/>
  <c r="D8" i="3"/>
  <c r="E6" i="11" l="1"/>
  <c r="E5" i="11"/>
  <c r="E4" i="11"/>
  <c r="G2" i="11"/>
  <c r="P10" i="3"/>
  <c r="F17" i="3"/>
  <c r="F44" i="6"/>
  <c r="K44" i="6" s="1"/>
  <c r="F45" i="6"/>
  <c r="K45" i="6" s="1"/>
  <c r="F46" i="6"/>
  <c r="N45" i="6"/>
  <c r="M45" i="6"/>
  <c r="L45" i="6"/>
  <c r="J45" i="6"/>
  <c r="N44" i="6"/>
  <c r="M44" i="6"/>
  <c r="L44" i="6"/>
  <c r="J44" i="6"/>
  <c r="O43" i="6"/>
  <c r="N43" i="6"/>
  <c r="M43" i="6"/>
  <c r="L43" i="6"/>
  <c r="J43" i="6"/>
  <c r="F43" i="6"/>
  <c r="K43" i="6" s="1"/>
  <c r="I5" i="10"/>
  <c r="H5" i="10"/>
  <c r="G5" i="10"/>
  <c r="J3" i="10"/>
  <c r="O45" i="6" l="1"/>
  <c r="O44" i="6"/>
  <c r="F53" i="6" l="1"/>
  <c r="B6" i="3"/>
  <c r="B15" i="3" s="1"/>
  <c r="F15" i="3" s="1"/>
  <c r="F54" i="6" l="1"/>
  <c r="F55" i="6"/>
  <c r="F56" i="6"/>
  <c r="F57" i="6"/>
  <c r="F58" i="6"/>
  <c r="F59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L23" i="6"/>
  <c r="L24" i="6"/>
  <c r="L25" i="6"/>
  <c r="L26" i="6"/>
  <c r="L27" i="6"/>
  <c r="J4" i="10"/>
  <c r="I4" i="10"/>
  <c r="H4" i="10"/>
  <c r="G4" i="10"/>
  <c r="E5" i="10"/>
  <c r="E4" i="10"/>
  <c r="E3" i="10"/>
  <c r="E2" i="10"/>
  <c r="C18" i="3"/>
  <c r="K77" i="6"/>
  <c r="C4" i="3" s="1"/>
  <c r="C8" i="3" s="1"/>
  <c r="H25" i="5"/>
  <c r="E7" i="10" l="1"/>
  <c r="K4" i="10"/>
  <c r="F6" i="3"/>
  <c r="F10" i="9" l="1"/>
  <c r="F11" i="9"/>
  <c r="F12" i="9"/>
  <c r="F13" i="9"/>
  <c r="F17" i="9"/>
  <c r="F18" i="9"/>
  <c r="F19" i="9"/>
  <c r="F20" i="9"/>
  <c r="F21" i="9"/>
  <c r="F22" i="9"/>
  <c r="F23" i="9"/>
  <c r="F24" i="9"/>
  <c r="F25" i="9"/>
  <c r="F26" i="9"/>
  <c r="F12" i="6" l="1"/>
  <c r="F11" i="6"/>
  <c r="F8" i="9" l="1"/>
  <c r="F9" i="9"/>
  <c r="E10" i="9"/>
  <c r="G10" i="9"/>
  <c r="E11" i="9"/>
  <c r="G11" i="9"/>
  <c r="E12" i="9"/>
  <c r="G12" i="9"/>
  <c r="E16" i="9"/>
  <c r="E17" i="9"/>
  <c r="E18" i="9"/>
  <c r="E19" i="9"/>
  <c r="E20" i="9"/>
  <c r="E21" i="9"/>
  <c r="E22" i="9"/>
  <c r="E23" i="9"/>
  <c r="E24" i="9"/>
  <c r="E25" i="9"/>
  <c r="G25" i="9"/>
  <c r="E29" i="9"/>
  <c r="F29" i="9"/>
  <c r="G29" i="9" s="1"/>
  <c r="E30" i="9"/>
  <c r="F30" i="9"/>
  <c r="G30" i="9" s="1"/>
  <c r="G22" i="9" l="1"/>
  <c r="G24" i="9"/>
  <c r="G20" i="9"/>
  <c r="G18" i="9"/>
  <c r="F16" i="9"/>
  <c r="G16" i="9" s="1"/>
  <c r="G23" i="9"/>
  <c r="G21" i="9"/>
  <c r="G19" i="9"/>
  <c r="G17" i="9"/>
  <c r="F31" i="9" l="1"/>
  <c r="F35" i="9" l="1"/>
  <c r="F36" i="9"/>
  <c r="F37" i="9" l="1"/>
  <c r="F39" i="9" l="1"/>
  <c r="F38" i="9"/>
  <c r="F40" i="9" l="1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34" i="7" l="1"/>
  <c r="F35" i="7" l="1"/>
  <c r="F36" i="7" s="1"/>
  <c r="N63" i="6"/>
  <c r="M63" i="6"/>
  <c r="L63" i="6"/>
  <c r="K63" i="6"/>
  <c r="J63" i="6"/>
  <c r="N62" i="6"/>
  <c r="M62" i="6"/>
  <c r="L62" i="6"/>
  <c r="K62" i="6"/>
  <c r="J62" i="6"/>
  <c r="O61" i="6"/>
  <c r="N60" i="6"/>
  <c r="M60" i="6"/>
  <c r="L60" i="6"/>
  <c r="K60" i="6"/>
  <c r="J60" i="6"/>
  <c r="N59" i="6"/>
  <c r="M59" i="6"/>
  <c r="L59" i="6"/>
  <c r="K59" i="6"/>
  <c r="J59" i="6"/>
  <c r="N58" i="6"/>
  <c r="M58" i="6"/>
  <c r="L58" i="6"/>
  <c r="K58" i="6"/>
  <c r="J58" i="6"/>
  <c r="N57" i="6"/>
  <c r="M57" i="6"/>
  <c r="L57" i="6"/>
  <c r="K57" i="6"/>
  <c r="J57" i="6"/>
  <c r="N56" i="6"/>
  <c r="M56" i="6"/>
  <c r="L56" i="6"/>
  <c r="K56" i="6"/>
  <c r="J56" i="6"/>
  <c r="N55" i="6"/>
  <c r="M55" i="6"/>
  <c r="L55" i="6"/>
  <c r="K55" i="6"/>
  <c r="J55" i="6"/>
  <c r="N54" i="6"/>
  <c r="M54" i="6"/>
  <c r="L54" i="6"/>
  <c r="K54" i="6"/>
  <c r="J54" i="6"/>
  <c r="N53" i="6"/>
  <c r="M53" i="6"/>
  <c r="L53" i="6"/>
  <c r="K53" i="6"/>
  <c r="J53" i="6"/>
  <c r="O52" i="6"/>
  <c r="N51" i="6"/>
  <c r="M51" i="6"/>
  <c r="L51" i="6"/>
  <c r="K51" i="6"/>
  <c r="J51" i="6"/>
  <c r="N50" i="6"/>
  <c r="M50" i="6"/>
  <c r="L50" i="6"/>
  <c r="K50" i="6"/>
  <c r="J50" i="6"/>
  <c r="N49" i="6"/>
  <c r="M49" i="6"/>
  <c r="L49" i="6"/>
  <c r="K49" i="6"/>
  <c r="J49" i="6"/>
  <c r="N48" i="6"/>
  <c r="M48" i="6"/>
  <c r="L48" i="6"/>
  <c r="K48" i="6"/>
  <c r="J48" i="6"/>
  <c r="N46" i="6"/>
  <c r="M46" i="6"/>
  <c r="L46" i="6"/>
  <c r="K46" i="6"/>
  <c r="J46" i="6"/>
  <c r="N42" i="6"/>
  <c r="M42" i="6"/>
  <c r="L42" i="6"/>
  <c r="K42" i="6"/>
  <c r="J42" i="6"/>
  <c r="N41" i="6"/>
  <c r="M41" i="6"/>
  <c r="L41" i="6"/>
  <c r="K41" i="6"/>
  <c r="J41" i="6"/>
  <c r="N40" i="6"/>
  <c r="M40" i="6"/>
  <c r="L40" i="6"/>
  <c r="K40" i="6"/>
  <c r="J40" i="6"/>
  <c r="N39" i="6"/>
  <c r="M39" i="6"/>
  <c r="L39" i="6"/>
  <c r="K39" i="6"/>
  <c r="J39" i="6"/>
  <c r="N38" i="6"/>
  <c r="M38" i="6"/>
  <c r="L38" i="6"/>
  <c r="K38" i="6"/>
  <c r="J38" i="6"/>
  <c r="N37" i="6"/>
  <c r="M37" i="6"/>
  <c r="L37" i="6"/>
  <c r="K37" i="6"/>
  <c r="J37" i="6"/>
  <c r="N36" i="6"/>
  <c r="M36" i="6"/>
  <c r="L36" i="6"/>
  <c r="K36" i="6"/>
  <c r="J36" i="6"/>
  <c r="N35" i="6"/>
  <c r="M35" i="6"/>
  <c r="L35" i="6"/>
  <c r="K35" i="6"/>
  <c r="J35" i="6"/>
  <c r="N34" i="6"/>
  <c r="M34" i="6"/>
  <c r="L34" i="6"/>
  <c r="K34" i="6"/>
  <c r="J34" i="6"/>
  <c r="N33" i="6"/>
  <c r="M33" i="6"/>
  <c r="L33" i="6"/>
  <c r="K33" i="6"/>
  <c r="J33" i="6"/>
  <c r="N32" i="6"/>
  <c r="M32" i="6"/>
  <c r="L32" i="6"/>
  <c r="K32" i="6"/>
  <c r="J32" i="6"/>
  <c r="N31" i="6"/>
  <c r="M31" i="6"/>
  <c r="L31" i="6"/>
  <c r="K31" i="6"/>
  <c r="J31" i="6"/>
  <c r="N30" i="6"/>
  <c r="M30" i="6"/>
  <c r="L30" i="6"/>
  <c r="K30" i="6"/>
  <c r="J30" i="6"/>
  <c r="N29" i="6"/>
  <c r="M29" i="6"/>
  <c r="L29" i="6"/>
  <c r="K29" i="6"/>
  <c r="J29" i="6"/>
  <c r="N28" i="6"/>
  <c r="M28" i="6"/>
  <c r="L28" i="6"/>
  <c r="K28" i="6"/>
  <c r="J28" i="6"/>
  <c r="N27" i="6"/>
  <c r="M27" i="6"/>
  <c r="K27" i="6"/>
  <c r="N26" i="6"/>
  <c r="M26" i="6"/>
  <c r="K26" i="6"/>
  <c r="J26" i="6"/>
  <c r="N25" i="6"/>
  <c r="M25" i="6"/>
  <c r="K25" i="6"/>
  <c r="J25" i="6"/>
  <c r="N24" i="6"/>
  <c r="M24" i="6"/>
  <c r="K24" i="6"/>
  <c r="J24" i="6"/>
  <c r="N23" i="6"/>
  <c r="M23" i="6"/>
  <c r="K23" i="6"/>
  <c r="J23" i="6"/>
  <c r="N22" i="6"/>
  <c r="M22" i="6"/>
  <c r="L22" i="6"/>
  <c r="K22" i="6"/>
  <c r="J22" i="6"/>
  <c r="N21" i="6"/>
  <c r="M21" i="6"/>
  <c r="L21" i="6"/>
  <c r="K21" i="6"/>
  <c r="J21" i="6"/>
  <c r="N20" i="6"/>
  <c r="M20" i="6"/>
  <c r="L20" i="6"/>
  <c r="K20" i="6"/>
  <c r="J20" i="6"/>
  <c r="N19" i="6"/>
  <c r="M19" i="6"/>
  <c r="L19" i="6"/>
  <c r="K19" i="6"/>
  <c r="J19" i="6"/>
  <c r="N18" i="6"/>
  <c r="M18" i="6"/>
  <c r="L18" i="6"/>
  <c r="K18" i="6"/>
  <c r="J18" i="6"/>
  <c r="N17" i="6"/>
  <c r="M17" i="6"/>
  <c r="L17" i="6"/>
  <c r="K17" i="6"/>
  <c r="J17" i="6"/>
  <c r="N16" i="6"/>
  <c r="M16" i="6"/>
  <c r="L16" i="6"/>
  <c r="K16" i="6"/>
  <c r="J16" i="6"/>
  <c r="N15" i="6"/>
  <c r="M15" i="6"/>
  <c r="L15" i="6"/>
  <c r="K15" i="6"/>
  <c r="J15" i="6"/>
  <c r="N14" i="6"/>
  <c r="M14" i="6"/>
  <c r="L14" i="6"/>
  <c r="K14" i="6"/>
  <c r="J14" i="6"/>
  <c r="N13" i="6"/>
  <c r="M13" i="6"/>
  <c r="L13" i="6"/>
  <c r="K13" i="6"/>
  <c r="J13" i="6"/>
  <c r="N12" i="6"/>
  <c r="M12" i="6"/>
  <c r="L12" i="6"/>
  <c r="K12" i="6"/>
  <c r="J12" i="6"/>
  <c r="N11" i="6"/>
  <c r="M11" i="6"/>
  <c r="L11" i="6"/>
  <c r="K11" i="6"/>
  <c r="J11" i="6"/>
  <c r="O56" i="6" l="1"/>
  <c r="F38" i="7"/>
  <c r="F37" i="7"/>
  <c r="G3" i="10" s="1"/>
  <c r="O58" i="6"/>
  <c r="K68" i="6"/>
  <c r="O54" i="6"/>
  <c r="O40" i="6"/>
  <c r="O31" i="6"/>
  <c r="O37" i="6"/>
  <c r="O39" i="6"/>
  <c r="O51" i="6"/>
  <c r="O36" i="6"/>
  <c r="O60" i="6"/>
  <c r="O12" i="6"/>
  <c r="O33" i="6"/>
  <c r="O26" i="6"/>
  <c r="O24" i="6"/>
  <c r="O35" i="6"/>
  <c r="O55" i="6"/>
  <c r="O14" i="6"/>
  <c r="O20" i="6"/>
  <c r="O18" i="6"/>
  <c r="O19" i="6"/>
  <c r="O29" i="6"/>
  <c r="O62" i="6"/>
  <c r="M68" i="6"/>
  <c r="M69" i="6" s="1"/>
  <c r="M70" i="6" s="1"/>
  <c r="O16" i="6"/>
  <c r="O22" i="6"/>
  <c r="O32" i="6"/>
  <c r="O41" i="6"/>
  <c r="O17" i="6"/>
  <c r="N68" i="6"/>
  <c r="N69" i="6" s="1"/>
  <c r="N70" i="6" s="1"/>
  <c r="O21" i="6"/>
  <c r="O38" i="6"/>
  <c r="O48" i="6"/>
  <c r="O28" i="6"/>
  <c r="O46" i="6"/>
  <c r="O42" i="6"/>
  <c r="O13" i="6"/>
  <c r="O23" i="6"/>
  <c r="O34" i="6"/>
  <c r="O50" i="6"/>
  <c r="O57" i="6"/>
  <c r="O63" i="6"/>
  <c r="O49" i="6"/>
  <c r="O53" i="6"/>
  <c r="O15" i="6"/>
  <c r="O25" i="6"/>
  <c r="O30" i="6"/>
  <c r="O59" i="6"/>
  <c r="L68" i="6"/>
  <c r="O11" i="6"/>
  <c r="H3" i="10" l="1"/>
  <c r="I3" i="10"/>
  <c r="F39" i="7"/>
  <c r="B5" i="3" s="1"/>
  <c r="K3" i="10"/>
  <c r="K69" i="6"/>
  <c r="M72" i="6"/>
  <c r="M71" i="6"/>
  <c r="N72" i="6"/>
  <c r="N71" i="6"/>
  <c r="L69" i="6"/>
  <c r="L70" i="6" s="1"/>
  <c r="J2" i="10" l="1"/>
  <c r="F5" i="3"/>
  <c r="B14" i="3"/>
  <c r="F14" i="3" s="1"/>
  <c r="K70" i="6"/>
  <c r="N73" i="6"/>
  <c r="M73" i="6"/>
  <c r="L72" i="6"/>
  <c r="L71" i="6"/>
  <c r="K72" i="6" l="1"/>
  <c r="K71" i="6"/>
  <c r="G2" i="10" s="1"/>
  <c r="I2" i="10" s="1"/>
  <c r="L73" i="6"/>
  <c r="H10" i="5"/>
  <c r="H9" i="5"/>
  <c r="H8" i="5"/>
  <c r="H7" i="5"/>
  <c r="H6" i="5"/>
  <c r="H5" i="5"/>
  <c r="H4" i="5"/>
  <c r="K73" i="6" l="1"/>
  <c r="K78" i="6" s="1"/>
  <c r="B4" i="3" s="1"/>
  <c r="B13" i="3" s="1"/>
  <c r="F13" i="3" s="1"/>
  <c r="H11" i="5"/>
  <c r="G12" i="5" l="1"/>
  <c r="H12" i="5" s="1"/>
  <c r="F4" i="3"/>
  <c r="I7" i="10"/>
  <c r="H2" i="10"/>
  <c r="G7" i="10"/>
  <c r="E2" i="11"/>
  <c r="E3" i="11"/>
  <c r="H13" i="5" l="1"/>
  <c r="G14" i="5" s="1"/>
  <c r="H14" i="5" s="1"/>
  <c r="H7" i="10"/>
  <c r="K2" i="10"/>
  <c r="H16" i="5" l="1"/>
  <c r="E7" i="11"/>
  <c r="B7" i="3" l="1"/>
  <c r="H30" i="5"/>
  <c r="E4" i="3"/>
  <c r="H31" i="5" l="1"/>
  <c r="H33" i="5"/>
  <c r="H32" i="5"/>
  <c r="K5" i="10"/>
  <c r="J7" i="10"/>
  <c r="K7" i="10" s="1"/>
  <c r="B16" i="3"/>
  <c r="E7" i="3"/>
  <c r="B8" i="3"/>
  <c r="B18" i="3" l="1"/>
  <c r="F16" i="3"/>
  <c r="F8" i="3"/>
  <c r="E8" i="3" s="1"/>
  <c r="E16" i="3" l="1"/>
  <c r="F18" i="3"/>
</calcChain>
</file>

<file path=xl/sharedStrings.xml><?xml version="1.0" encoding="utf-8"?>
<sst xmlns="http://schemas.openxmlformats.org/spreadsheetml/2006/main" count="427" uniqueCount="256">
  <si>
    <t>PWP Budget</t>
  </si>
  <si>
    <t>Component</t>
  </si>
  <si>
    <t>% Leveraged</t>
  </si>
  <si>
    <t>Total</t>
  </si>
  <si>
    <t>Pathway to Wellness</t>
  </si>
  <si>
    <t>-</t>
  </si>
  <si>
    <t>Stone Lake Pathway</t>
  </si>
  <si>
    <t>Stone Lake ATV Trail</t>
  </si>
  <si>
    <t>Highway 8 Re-Grade</t>
  </si>
  <si>
    <t>Expanded Scope of PWP to Include Previous Grant Funding</t>
  </si>
  <si>
    <t>Kwe da Kik Ln. Rebuild</t>
  </si>
  <si>
    <t>Note: Itemized budgets are located in tabs</t>
  </si>
  <si>
    <t>US 8 Corridor Bike &amp; Pedestrian Path</t>
  </si>
  <si>
    <t>S. Propsect Avenue to Otter Creek Road  (Section 1 : Fire Keeper Rd - Love Knot Ln, Section 2 : Love Knot Ln - Otter Creek Rd, Section 3 : S. Prospect Ave - Fire Keeper Rd)</t>
  </si>
  <si>
    <t xml:space="preserve">FOREST COUNTY POTAWATOMI COMMUNITY </t>
  </si>
  <si>
    <t>Probable Estimate of Construction  (30% Design Level)</t>
  </si>
  <si>
    <t>WisDOT Bid #</t>
  </si>
  <si>
    <t xml:space="preserve">Item </t>
  </si>
  <si>
    <t xml:space="preserve">Unit </t>
  </si>
  <si>
    <t xml:space="preserve">Unit price </t>
  </si>
  <si>
    <t xml:space="preserve"># Total Units </t>
  </si>
  <si>
    <t>Total Cost</t>
  </si>
  <si>
    <t xml:space="preserve">Comments </t>
  </si>
  <si>
    <t xml:space="preserve">Overall </t>
  </si>
  <si>
    <t>Units Section 1</t>
  </si>
  <si>
    <t>Units Section 2</t>
  </si>
  <si>
    <t>Units Section 3</t>
  </si>
  <si>
    <t xml:space="preserve">check unit total </t>
  </si>
  <si>
    <t>Cost Section 1</t>
  </si>
  <si>
    <t>Cost Section 2</t>
  </si>
  <si>
    <t>Cost Section 3</t>
  </si>
  <si>
    <t xml:space="preserve">Check cost total </t>
  </si>
  <si>
    <t>Check formula</t>
  </si>
  <si>
    <t>Clearing</t>
  </si>
  <si>
    <t>STA</t>
  </si>
  <si>
    <t xml:space="preserve">Grubbing </t>
  </si>
  <si>
    <t>Removing Asphaltic Surface</t>
  </si>
  <si>
    <t>SY</t>
  </si>
  <si>
    <t>Removing Curb &amp; Gutter</t>
  </si>
  <si>
    <t>LF</t>
  </si>
  <si>
    <t>Removing Concrete Sidewalk</t>
  </si>
  <si>
    <t xml:space="preserve">Excavation Common </t>
  </si>
  <si>
    <t>CY</t>
  </si>
  <si>
    <t>Base Aggregate 1 1/4" - Bike/Ped</t>
  </si>
  <si>
    <t>TON</t>
  </si>
  <si>
    <t>8" bike/ped and 6" for ATV</t>
  </si>
  <si>
    <t>Asphaltic Surface (4")</t>
  </si>
  <si>
    <t>Apron Endwalls for Culvert Pipe Reinforced Concrete 18-Inch</t>
  </si>
  <si>
    <t>EACH</t>
  </si>
  <si>
    <t>Concrete Curb and Gutter 30 inch Type D</t>
  </si>
  <si>
    <t xml:space="preserve">Concrete Sidewalk 5-Inch (incl stone - small quantiy)) </t>
  </si>
  <si>
    <t xml:space="preserve">SF </t>
  </si>
  <si>
    <t>Curb Ramp Detectable Warning Field Natural Patina</t>
  </si>
  <si>
    <t>SF</t>
  </si>
  <si>
    <t>Riprap Medium</t>
  </si>
  <si>
    <t>Storm Sewer Pipe Reinforced Concrete Class III 18-Inch</t>
  </si>
  <si>
    <t>Inlet Covers Type H</t>
  </si>
  <si>
    <t>Inlets 4-FT Diameter</t>
  </si>
  <si>
    <t>Fence Chain Link 6-FT</t>
  </si>
  <si>
    <t>Salvaged Topsoil</t>
  </si>
  <si>
    <t xml:space="preserve">Mulching </t>
  </si>
  <si>
    <t>Silt fence (assume entire trail- boardwalk - use asphalt path )</t>
  </si>
  <si>
    <t>Inlet Protection Type B</t>
  </si>
  <si>
    <t>EA</t>
  </si>
  <si>
    <t xml:space="preserve">Tracking pads </t>
  </si>
  <si>
    <t>Fertilizer</t>
  </si>
  <si>
    <t>CWT</t>
  </si>
  <si>
    <t xml:space="preserve">based on slope intercept + 10' allowance on ATV trails </t>
  </si>
  <si>
    <t>Seeding mixture #20 (6 lbs/acre)</t>
  </si>
  <si>
    <t>LBS</t>
  </si>
  <si>
    <t>Posts Wood 4x4-Inch 10-Ft</t>
  </si>
  <si>
    <t>Posts Wood 4x6-Inch 14-Ft</t>
  </si>
  <si>
    <t>Signs Type II Reflective H</t>
  </si>
  <si>
    <t>Signs Type II Reflective F</t>
  </si>
  <si>
    <t>Sawing Concrete</t>
  </si>
  <si>
    <t xml:space="preserve">LF </t>
  </si>
  <si>
    <t xml:space="preserve">SPV </t>
  </si>
  <si>
    <t>Wetland seeding  (wherever boardwalk)</t>
  </si>
  <si>
    <t>643.5000S</t>
  </si>
  <si>
    <t xml:space="preserve">Traffic Control </t>
  </si>
  <si>
    <t xml:space="preserve">LS </t>
  </si>
  <si>
    <t>Marking Crosswalk Epoxy Ladder Pattern 24-Inch</t>
  </si>
  <si>
    <t>SPV</t>
  </si>
  <si>
    <t xml:space="preserve">Railing (modified  3- rail split rail- 42") </t>
  </si>
  <si>
    <t>Allowances</t>
  </si>
  <si>
    <t xml:space="preserve">Signing &amp; marking allowance </t>
  </si>
  <si>
    <t>LS</t>
  </si>
  <si>
    <t xml:space="preserve">Pavement &amp; curb removal allowance </t>
  </si>
  <si>
    <t>Drainage infrastructure throughout trail (not including underpass)</t>
  </si>
  <si>
    <t xml:space="preserve">Utility relocates (compensable) </t>
  </si>
  <si>
    <t>Structures</t>
  </si>
  <si>
    <t xml:space="preserve">Underpass Structure (dual- cell 25' wide x 12' tall) </t>
  </si>
  <si>
    <t>Underpass lighting (recessed every 20' both sides + outside both sides+ wiring+ and control boxes + service)</t>
  </si>
  <si>
    <t xml:space="preserve">Underpass stormwater </t>
  </si>
  <si>
    <t>Retaining walls by underpass approach</t>
  </si>
  <si>
    <t xml:space="preserve">Assume helical piles at 15' depth and 10' spacing (dual) </t>
  </si>
  <si>
    <t xml:space="preserve">Boardwalk substrucure </t>
  </si>
  <si>
    <t xml:space="preserve">Boardwalk railing </t>
  </si>
  <si>
    <t xml:space="preserve">includes both sides </t>
  </si>
  <si>
    <t xml:space="preserve">Boardwalk decking (ACQ) </t>
  </si>
  <si>
    <t xml:space="preserve">Assume 14' wide </t>
  </si>
  <si>
    <t xml:space="preserve">Mobilization </t>
  </si>
  <si>
    <t xml:space="preserve">Field Office Type B </t>
  </si>
  <si>
    <t xml:space="preserve">Total </t>
  </si>
  <si>
    <t>Section 1</t>
  </si>
  <si>
    <t>Section 2</t>
  </si>
  <si>
    <t>Section 3</t>
  </si>
  <si>
    <t xml:space="preserve">Construction Subtotal </t>
  </si>
  <si>
    <t xml:space="preserve">Prelim Plan Contingency (10%) </t>
  </si>
  <si>
    <t xml:space="preserve">Construction Total </t>
  </si>
  <si>
    <t>WisDOT Design Delivery (23%)</t>
  </si>
  <si>
    <t>WisDOT Construction Delivery (14%)</t>
  </si>
  <si>
    <t>Total Costs</t>
  </si>
  <si>
    <t>Hwy 8 Re-Grade</t>
  </si>
  <si>
    <t>Item #</t>
  </si>
  <si>
    <t>Description</t>
  </si>
  <si>
    <t>Unit</t>
  </si>
  <si>
    <t>Quantity</t>
  </si>
  <si>
    <t>Unit Price</t>
  </si>
  <si>
    <t>Total Price</t>
  </si>
  <si>
    <t>Cat 0010 Roadway</t>
  </si>
  <si>
    <t>Common Excavation</t>
  </si>
  <si>
    <t>Base Aggregate Dense 1- 1/4-Inch</t>
  </si>
  <si>
    <t>Ton</t>
  </si>
  <si>
    <t>Topsoil</t>
  </si>
  <si>
    <t>Erosion Mat</t>
  </si>
  <si>
    <t>Seed, #20</t>
  </si>
  <si>
    <t>LB</t>
  </si>
  <si>
    <t>Fertilizer, Type B</t>
  </si>
  <si>
    <t>Traffic Control</t>
  </si>
  <si>
    <t>Subtotal</t>
  </si>
  <si>
    <t>Incidentals</t>
  </si>
  <si>
    <t>WisDOT Construction Delivery</t>
  </si>
  <si>
    <t>Construction Total</t>
  </si>
  <si>
    <t>WisDOT to pay for HMA and shoulder gravel</t>
  </si>
  <si>
    <t>WisDOT to pay for Design Delivery</t>
  </si>
  <si>
    <t>Assume 6.25" HMA over 12" BAD</t>
  </si>
  <si>
    <t>FCPC to pay for Real Estate</t>
  </si>
  <si>
    <t>WisDOT Leverage:</t>
  </si>
  <si>
    <t>Construction</t>
  </si>
  <si>
    <t>Design Engineering</t>
  </si>
  <si>
    <t>Construction Engineering</t>
  </si>
  <si>
    <t>FCPC Leverage</t>
  </si>
  <si>
    <t>Real Estate</t>
  </si>
  <si>
    <t>Total Project Cost</t>
  </si>
  <si>
    <t>% WisDOT Leverage</t>
  </si>
  <si>
    <t>% FCPC Leverage</t>
  </si>
  <si>
    <t>Item</t>
  </si>
  <si>
    <t>Item Description</t>
  </si>
  <si>
    <t>201.0115</t>
  </si>
  <si>
    <t>ACRE</t>
  </si>
  <si>
    <t>201.0215</t>
  </si>
  <si>
    <t>Grubbing</t>
  </si>
  <si>
    <t>205.0100</t>
  </si>
  <si>
    <t>Excavation Common</t>
  </si>
  <si>
    <t>208.0100</t>
  </si>
  <si>
    <t>Borrow</t>
  </si>
  <si>
    <t>213.0100</t>
  </si>
  <si>
    <t>Finishing Roadway (project)</t>
  </si>
  <si>
    <t>305.0120</t>
  </si>
  <si>
    <t>Base Aggregate Dense 1 1/4-Inch</t>
  </si>
  <si>
    <t>520.1015</t>
  </si>
  <si>
    <t>Apron Endwalls for Culvert Pipe 15-Inch</t>
  </si>
  <si>
    <t>520.5115</t>
  </si>
  <si>
    <t>Culvert Pipe Class V 15-Inch</t>
  </si>
  <si>
    <t>601.0411</t>
  </si>
  <si>
    <t>Concrete Curb &amp; Gutter 30-Inch Type D</t>
  </si>
  <si>
    <t>602.0415</t>
  </si>
  <si>
    <t>Concrete Sidewalk 6-Inch</t>
  </si>
  <si>
    <t>602.0505</t>
  </si>
  <si>
    <t>Curb Ramp Detectable Warning Field Yellow</t>
  </si>
  <si>
    <t>606.0200</t>
  </si>
  <si>
    <t>618.0100</t>
  </si>
  <si>
    <t>Maintenance And Repair of Haul Roads (project)</t>
  </si>
  <si>
    <t>619.1000</t>
  </si>
  <si>
    <t>Mobilization</t>
  </si>
  <si>
    <t>625.0100</t>
  </si>
  <si>
    <t>628.1504</t>
  </si>
  <si>
    <t>Silt Fence</t>
  </si>
  <si>
    <t>628.1520</t>
  </si>
  <si>
    <t>Silt Fence Maintenance</t>
  </si>
  <si>
    <t>628.1905</t>
  </si>
  <si>
    <t>Mobilizations Erosion Control</t>
  </si>
  <si>
    <t>628.1910</t>
  </si>
  <si>
    <t>Mobilizations Emergency Erosion Control</t>
  </si>
  <si>
    <t>628.2008</t>
  </si>
  <si>
    <t>Erosion Mat Urban Class I Type B</t>
  </si>
  <si>
    <t>628.7020</t>
  </si>
  <si>
    <t>Inlet Protection Type D</t>
  </si>
  <si>
    <t>628.7504</t>
  </si>
  <si>
    <t>Temporary Ditch Checks</t>
  </si>
  <si>
    <t>629.0210</t>
  </si>
  <si>
    <t>Fertilizer Type B</t>
  </si>
  <si>
    <t>630.0120</t>
  </si>
  <si>
    <t>Seeding Mixture No. 20</t>
  </si>
  <si>
    <t>630.0200</t>
  </si>
  <si>
    <t>Seeding Temporary</t>
  </si>
  <si>
    <t>642.5001</t>
  </si>
  <si>
    <t>Field Office Type B</t>
  </si>
  <si>
    <t>643.0300</t>
  </si>
  <si>
    <t>Traffic Control Drums</t>
  </si>
  <si>
    <t>DAY</t>
  </si>
  <si>
    <t>643.0705</t>
  </si>
  <si>
    <t>Traffic Control Warning Lights Type A</t>
  </si>
  <si>
    <t>645.0120</t>
  </si>
  <si>
    <t>Geotextile Type HR</t>
  </si>
  <si>
    <t>690.0250</t>
  </si>
  <si>
    <t>SPV.0055</t>
  </si>
  <si>
    <t>Special Electrical Sidewalk Lighting</t>
  </si>
  <si>
    <t>DOL</t>
  </si>
  <si>
    <t>`</t>
  </si>
  <si>
    <t>Grand Total</t>
  </si>
  <si>
    <t>Stone Lake ATV Trail Cost Estimate</t>
  </si>
  <si>
    <t>Fire Keeper Road - Bug Lake Road</t>
  </si>
  <si>
    <t># Units</t>
  </si>
  <si>
    <t xml:space="preserve">Total Cost </t>
  </si>
  <si>
    <t>Overall Project Items</t>
  </si>
  <si>
    <t xml:space="preserve">Construction Staking </t>
  </si>
  <si>
    <t xml:space="preserve">Trail materials (furnish &amp; install) </t>
  </si>
  <si>
    <t xml:space="preserve">Assuming 8"  excavation for 18' </t>
  </si>
  <si>
    <t>Base Aggregate 1 1/4" - ATV</t>
  </si>
  <si>
    <t xml:space="preserve">6" depth </t>
  </si>
  <si>
    <t>10' width (5' either side of trail)</t>
  </si>
  <si>
    <t>Silt fence</t>
  </si>
  <si>
    <t>Based on assumption of one side of trail for entire length</t>
  </si>
  <si>
    <t xml:space="preserve">Based on slope intercept + 10' allowance on ATV trails </t>
  </si>
  <si>
    <t>Geotextile Type DF (for under Base Agg)</t>
  </si>
  <si>
    <t xml:space="preserve">25'  Pre-fabricated Treated Wooden Bridge </t>
  </si>
  <si>
    <t xml:space="preserve">Signing &amp; marking </t>
  </si>
  <si>
    <t xml:space="preserve">Misc. culverts/ stormwater drainage  </t>
  </si>
  <si>
    <t>Construction Subtotal</t>
  </si>
  <si>
    <t xml:space="preserve">ATV trail </t>
  </si>
  <si>
    <t xml:space="preserve">Construction oversight (7%) </t>
  </si>
  <si>
    <t>Construction cost + oversight</t>
  </si>
  <si>
    <t>FCPC Funding  Contribution</t>
  </si>
  <si>
    <t>East Underpass</t>
  </si>
  <si>
    <t>Section 1 Path</t>
  </si>
  <si>
    <t>Total Leverage</t>
  </si>
  <si>
    <t>Cost Classification</t>
  </si>
  <si>
    <t>4 - Architectural and engineering fees (design)</t>
  </si>
  <si>
    <t>5 - Other Engineering fees (survey/soil borings)</t>
  </si>
  <si>
    <t>6 -Project Inspection fees</t>
  </si>
  <si>
    <t>9 - construction</t>
  </si>
  <si>
    <t>13 - contingency</t>
  </si>
  <si>
    <t>% Federal Leverage (RAISE)</t>
  </si>
  <si>
    <t>10% Contingency</t>
  </si>
  <si>
    <t>Design Delivery (23%)</t>
  </si>
  <si>
    <t>Construction Delivery (14%)</t>
  </si>
  <si>
    <t>Solar-powered RRFBs with infrared beam (poles,signals, controller) @ at-grade crossing</t>
  </si>
  <si>
    <t>Solar- powered Advanced Warning RRFBs radio linked to cross walk signs</t>
  </si>
  <si>
    <t>Solar-powered pedestrian lights @ roadwaycrossing</t>
  </si>
  <si>
    <t xml:space="preserve">Boardwalk helical piles </t>
  </si>
  <si>
    <t>Miscellaneous</t>
  </si>
  <si>
    <t>RAISE Request</t>
  </si>
  <si>
    <t>Other Leverage</t>
  </si>
  <si>
    <t>Non-Federal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</si>
</sst>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%"/>
    <numFmt numFmtId="167" formatCode="_(* #,##0_);_(* \(#,##0\);_(* &quot;-&quot;??_);_(@_)"/>
    <numFmt numFmtId="168" formatCode="[$-F800]dddd\,\ mmmm\ dd\,\ yyyy"/>
    <numFmt numFmtId="169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00B0F0"/>
      <name val="Times New Roman"/>
      <family val="1"/>
    </font>
    <font>
      <sz val="11"/>
      <name val="Times New Roman"/>
      <family val="1"/>
    </font>
    <font>
      <b/>
      <sz val="11"/>
      <color rgb="FF00B0F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9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Border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1" fillId="0" borderId="0" xfId="1" applyNumberFormat="1" applyFont="1" applyFill="1" applyAlignment="1">
      <alignment vertical="center"/>
    </xf>
    <xf numFmtId="167" fontId="0" fillId="0" borderId="0" xfId="1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7" xfId="0" applyFill="1" applyBorder="1"/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4" fillId="0" borderId="0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1" fillId="0" borderId="0" xfId="1" applyNumberFormat="1" applyFont="1" applyAlignment="1">
      <alignment vertical="center"/>
    </xf>
    <xf numFmtId="167" fontId="0" fillId="0" borderId="0" xfId="1" applyNumberFormat="1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169" fontId="0" fillId="0" borderId="0" xfId="1" applyNumberFormat="1" applyFont="1" applyAlignment="1">
      <alignment horizontal="right"/>
    </xf>
    <xf numFmtId="0" fontId="0" fillId="0" borderId="0" xfId="0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  <xf numFmtId="169" fontId="1" fillId="0" borderId="0" xfId="1" applyNumberFormat="1" applyFont="1" applyFill="1" applyBorder="1" applyAlignment="1">
      <alignment horizontal="right" vertical="center"/>
    </xf>
    <xf numFmtId="164" fontId="0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" fontId="3" fillId="0" borderId="0" xfId="1" applyNumberFormat="1" applyFont="1" applyFill="1" applyAlignment="1">
      <alignment horizontal="center" vertical="center"/>
    </xf>
    <xf numFmtId="169" fontId="0" fillId="0" borderId="0" xfId="1" applyNumberFormat="1" applyFont="1" applyFill="1" applyAlignment="1">
      <alignment horizontal="right" vertical="center"/>
    </xf>
    <xf numFmtId="164" fontId="0" fillId="0" borderId="0" xfId="2" applyNumberFormat="1" applyFont="1" applyFill="1" applyAlignment="1">
      <alignment horizontal="center"/>
    </xf>
    <xf numFmtId="0" fontId="4" fillId="0" borderId="0" xfId="0" applyFont="1" applyFill="1"/>
    <xf numFmtId="169" fontId="0" fillId="0" borderId="0" xfId="1" applyNumberFormat="1" applyFont="1" applyFill="1" applyAlignment="1">
      <alignment horizontal="right"/>
    </xf>
    <xf numFmtId="0" fontId="8" fillId="0" borderId="0" xfId="0" applyFont="1"/>
    <xf numFmtId="0" fontId="7" fillId="3" borderId="0" xfId="0" applyFont="1" applyFill="1" applyAlignment="1">
      <alignment horizontal="center"/>
    </xf>
    <xf numFmtId="0" fontId="8" fillId="0" borderId="1" xfId="0" applyFont="1" applyBorder="1"/>
    <xf numFmtId="164" fontId="8" fillId="0" borderId="1" xfId="0" applyNumberFormat="1" applyFont="1" applyBorder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166" fontId="8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/>
    <xf numFmtId="0" fontId="8" fillId="0" borderId="13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14" xfId="0" applyFont="1" applyFill="1" applyBorder="1"/>
    <xf numFmtId="165" fontId="7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center"/>
    </xf>
    <xf numFmtId="167" fontId="7" fillId="0" borderId="17" xfId="1" applyNumberFormat="1" applyFont="1" applyFill="1" applyBorder="1" applyAlignment="1">
      <alignment vertical="center"/>
    </xf>
    <xf numFmtId="167" fontId="8" fillId="0" borderId="18" xfId="1" applyNumberFormat="1" applyFont="1" applyFill="1" applyBorder="1" applyAlignment="1">
      <alignment horizontal="right"/>
    </xf>
    <xf numFmtId="167" fontId="8" fillId="0" borderId="20" xfId="1" applyNumberFormat="1" applyFont="1" applyFill="1" applyBorder="1" applyAlignment="1">
      <alignment horizontal="right"/>
    </xf>
    <xf numFmtId="1" fontId="11" fillId="0" borderId="8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14" fillId="0" borderId="0" xfId="0" applyFont="1" applyFill="1"/>
    <xf numFmtId="165" fontId="7" fillId="2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164" fontId="7" fillId="2" borderId="23" xfId="2" applyNumberFormat="1" applyFont="1" applyFill="1" applyBorder="1" applyAlignment="1">
      <alignment horizontal="center"/>
    </xf>
    <xf numFmtId="167" fontId="7" fillId="2" borderId="21" xfId="1" applyNumberFormat="1" applyFont="1" applyFill="1" applyBorder="1" applyAlignment="1">
      <alignment vertical="center"/>
    </xf>
    <xf numFmtId="167" fontId="7" fillId="2" borderId="22" xfId="1" applyNumberFormat="1" applyFont="1" applyFill="1" applyBorder="1" applyAlignment="1">
      <alignment horizontal="right" vertical="center"/>
    </xf>
    <xf numFmtId="167" fontId="7" fillId="2" borderId="24" xfId="1" applyNumberFormat="1" applyFont="1" applyFill="1" applyBorder="1" applyAlignment="1">
      <alignment horizontal="right" vertical="center"/>
    </xf>
    <xf numFmtId="1" fontId="13" fillId="2" borderId="25" xfId="1" applyNumberFormat="1" applyFont="1" applyFill="1" applyBorder="1" applyAlignment="1">
      <alignment horizontal="center" vertical="center"/>
    </xf>
    <xf numFmtId="164" fontId="12" fillId="2" borderId="22" xfId="0" applyNumberFormat="1" applyFont="1" applyFill="1" applyBorder="1" applyAlignment="1">
      <alignment horizontal="center"/>
    </xf>
    <xf numFmtId="164" fontId="12" fillId="2" borderId="24" xfId="0" applyNumberFormat="1" applyFont="1" applyFill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horizontal="center"/>
    </xf>
    <xf numFmtId="164" fontId="8" fillId="0" borderId="28" xfId="2" applyNumberFormat="1" applyFont="1" applyFill="1" applyBorder="1" applyAlignment="1">
      <alignment horizontal="center"/>
    </xf>
    <xf numFmtId="167" fontId="7" fillId="0" borderId="26" xfId="1" applyNumberFormat="1" applyFont="1" applyFill="1" applyBorder="1" applyAlignment="1">
      <alignment vertical="center"/>
    </xf>
    <xf numFmtId="167" fontId="8" fillId="0" borderId="27" xfId="1" applyNumberFormat="1" applyFont="1" applyFill="1" applyBorder="1" applyAlignment="1">
      <alignment horizontal="right" vertical="center"/>
    </xf>
    <xf numFmtId="167" fontId="8" fillId="0" borderId="29" xfId="1" applyNumberFormat="1" applyFont="1" applyFill="1" applyBorder="1" applyAlignment="1">
      <alignment horizontal="right" vertical="center"/>
    </xf>
    <xf numFmtId="1" fontId="11" fillId="0" borderId="30" xfId="1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5" fontId="8" fillId="0" borderId="3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8" fillId="0" borderId="4" xfId="2" applyNumberFormat="1" applyFont="1" applyFill="1" applyBorder="1" applyAlignment="1">
      <alignment horizontal="center"/>
    </xf>
    <xf numFmtId="167" fontId="7" fillId="0" borderId="31" xfId="1" applyNumberFormat="1" applyFont="1" applyFill="1" applyBorder="1" applyAlignment="1">
      <alignment vertical="center"/>
    </xf>
    <xf numFmtId="167" fontId="8" fillId="0" borderId="1" xfId="1" applyNumberFormat="1" applyFont="1" applyFill="1" applyBorder="1" applyAlignment="1">
      <alignment horizontal="right" vertical="center"/>
    </xf>
    <xf numFmtId="167" fontId="8" fillId="0" borderId="32" xfId="1" applyNumberFormat="1" applyFont="1" applyFill="1" applyBorder="1" applyAlignment="1">
      <alignment horizontal="right" vertical="center"/>
    </xf>
    <xf numFmtId="1" fontId="11" fillId="0" borderId="6" xfId="1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5" fillId="0" borderId="32" xfId="0" applyNumberFormat="1" applyFont="1" applyFill="1" applyBorder="1" applyAlignment="1">
      <alignment horizontal="center"/>
    </xf>
    <xf numFmtId="167" fontId="8" fillId="0" borderId="1" xfId="1" applyNumberFormat="1" applyFont="1" applyFill="1" applyBorder="1" applyAlignment="1">
      <alignment horizontal="right"/>
    </xf>
    <xf numFmtId="167" fontId="8" fillId="0" borderId="32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165" fontId="15" fillId="0" borderId="3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164" fontId="15" fillId="0" borderId="4" xfId="2" applyNumberFormat="1" applyFont="1" applyFill="1" applyBorder="1" applyAlignment="1">
      <alignment horizontal="center"/>
    </xf>
    <xf numFmtId="167" fontId="15" fillId="0" borderId="1" xfId="1" applyNumberFormat="1" applyFont="1" applyFill="1" applyBorder="1" applyAlignment="1">
      <alignment horizontal="right" vertical="center"/>
    </xf>
    <xf numFmtId="167" fontId="15" fillId="0" borderId="32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wrapText="1"/>
    </xf>
    <xf numFmtId="0" fontId="8" fillId="0" borderId="34" xfId="0" applyFont="1" applyFill="1" applyBorder="1" applyAlignment="1">
      <alignment horizontal="center"/>
    </xf>
    <xf numFmtId="164" fontId="8" fillId="0" borderId="35" xfId="2" applyNumberFormat="1" applyFont="1" applyFill="1" applyBorder="1" applyAlignment="1">
      <alignment horizontal="center"/>
    </xf>
    <xf numFmtId="167" fontId="7" fillId="0" borderId="33" xfId="1" applyNumberFormat="1" applyFont="1" applyFill="1" applyBorder="1" applyAlignment="1">
      <alignment vertical="center"/>
    </xf>
    <xf numFmtId="167" fontId="8" fillId="0" borderId="34" xfId="1" applyNumberFormat="1" applyFont="1" applyFill="1" applyBorder="1" applyAlignment="1">
      <alignment horizontal="right" vertical="center"/>
    </xf>
    <xf numFmtId="167" fontId="8" fillId="0" borderId="36" xfId="1" applyNumberFormat="1" applyFont="1" applyFill="1" applyBorder="1" applyAlignment="1">
      <alignment horizontal="right" vertical="center"/>
    </xf>
    <xf numFmtId="1" fontId="11" fillId="0" borderId="2" xfId="1" applyNumberFormat="1" applyFont="1" applyFill="1" applyBorder="1" applyAlignment="1">
      <alignment horizontal="center" vertical="center"/>
    </xf>
    <xf numFmtId="164" fontId="12" fillId="0" borderId="34" xfId="0" applyNumberFormat="1" applyFont="1" applyFill="1" applyBorder="1" applyAlignment="1">
      <alignment horizontal="center"/>
    </xf>
    <xf numFmtId="164" fontId="15" fillId="0" borderId="34" xfId="0" applyNumberFormat="1" applyFont="1" applyFill="1" applyBorder="1" applyAlignment="1">
      <alignment horizontal="center"/>
    </xf>
    <xf numFmtId="164" fontId="15" fillId="0" borderId="36" xfId="0" applyNumberFormat="1" applyFont="1" applyFill="1" applyBorder="1" applyAlignment="1">
      <alignment horizontal="center"/>
    </xf>
    <xf numFmtId="169" fontId="8" fillId="0" borderId="1" xfId="1" applyNumberFormat="1" applyFont="1" applyFill="1" applyBorder="1" applyAlignment="1">
      <alignment horizontal="right" vertical="center"/>
    </xf>
    <xf numFmtId="169" fontId="8" fillId="0" borderId="32" xfId="1" applyNumberFormat="1" applyFont="1" applyFill="1" applyBorder="1" applyAlignment="1">
      <alignment horizontal="right" vertical="center"/>
    </xf>
    <xf numFmtId="169" fontId="8" fillId="0" borderId="34" xfId="1" applyNumberFormat="1" applyFont="1" applyFill="1" applyBorder="1" applyAlignment="1">
      <alignment horizontal="right" vertical="center"/>
    </xf>
    <xf numFmtId="169" fontId="8" fillId="0" borderId="36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16" fillId="0" borderId="0" xfId="0" applyFont="1" applyFill="1"/>
    <xf numFmtId="164" fontId="11" fillId="0" borderId="3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left" wrapText="1"/>
    </xf>
    <xf numFmtId="0" fontId="15" fillId="0" borderId="33" xfId="0" applyFont="1" applyFill="1" applyBorder="1"/>
    <xf numFmtId="0" fontId="15" fillId="0" borderId="34" xfId="0" applyFont="1" applyFill="1" applyBorder="1" applyAlignment="1">
      <alignment wrapText="1"/>
    </xf>
    <xf numFmtId="0" fontId="15" fillId="0" borderId="34" xfId="0" applyFont="1" applyFill="1" applyBorder="1" applyAlignment="1">
      <alignment horizontal="center"/>
    </xf>
    <xf numFmtId="164" fontId="15" fillId="0" borderId="35" xfId="0" applyNumberFormat="1" applyFont="1" applyFill="1" applyBorder="1" applyAlignment="1">
      <alignment horizontal="center"/>
    </xf>
    <xf numFmtId="167" fontId="12" fillId="0" borderId="33" xfId="1" applyNumberFormat="1" applyFont="1" applyFill="1" applyBorder="1" applyAlignment="1">
      <alignment vertical="center"/>
    </xf>
    <xf numFmtId="167" fontId="15" fillId="0" borderId="34" xfId="1" applyNumberFormat="1" applyFont="1" applyFill="1" applyBorder="1" applyAlignment="1">
      <alignment horizontal="right"/>
    </xf>
    <xf numFmtId="167" fontId="15" fillId="0" borderId="36" xfId="1" applyNumberFormat="1" applyFont="1" applyFill="1" applyBorder="1" applyAlignment="1">
      <alignment horizontal="right"/>
    </xf>
    <xf numFmtId="1" fontId="15" fillId="0" borderId="2" xfId="1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31" xfId="0" applyFont="1" applyFill="1" applyBorder="1"/>
    <xf numFmtId="164" fontId="8" fillId="0" borderId="1" xfId="0" applyNumberFormat="1" applyFont="1" applyFill="1" applyBorder="1" applyAlignment="1">
      <alignment horizontal="center"/>
    </xf>
    <xf numFmtId="167" fontId="7" fillId="0" borderId="1" xfId="1" applyNumberFormat="1" applyFont="1" applyFill="1" applyBorder="1" applyAlignment="1">
      <alignment vertical="center"/>
    </xf>
    <xf numFmtId="169" fontId="8" fillId="0" borderId="1" xfId="1" applyNumberFormat="1" applyFont="1" applyFill="1" applyBorder="1" applyAlignment="1">
      <alignment horizontal="right"/>
    </xf>
    <xf numFmtId="1" fontId="11" fillId="0" borderId="1" xfId="1" applyNumberFormat="1" applyFont="1" applyFill="1" applyBorder="1" applyAlignment="1">
      <alignment horizontal="center" vertical="center"/>
    </xf>
    <xf numFmtId="0" fontId="8" fillId="0" borderId="42" xfId="0" applyFont="1" applyFill="1" applyBorder="1"/>
    <xf numFmtId="0" fontId="8" fillId="0" borderId="43" xfId="0" applyFont="1" applyFill="1" applyBorder="1" applyAlignment="1">
      <alignment wrapText="1"/>
    </xf>
    <xf numFmtId="0" fontId="8" fillId="0" borderId="43" xfId="0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/>
    </xf>
    <xf numFmtId="167" fontId="7" fillId="0" borderId="43" xfId="1" applyNumberFormat="1" applyFont="1" applyFill="1" applyBorder="1" applyAlignment="1">
      <alignment vertical="center"/>
    </xf>
    <xf numFmtId="1" fontId="11" fillId="0" borderId="43" xfId="1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/>
    </xf>
    <xf numFmtId="164" fontId="15" fillId="0" borderId="43" xfId="0" applyNumberFormat="1" applyFont="1" applyFill="1" applyBorder="1" applyAlignment="1">
      <alignment horizontal="center"/>
    </xf>
    <xf numFmtId="164" fontId="15" fillId="0" borderId="44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/>
    </xf>
    <xf numFmtId="167" fontId="7" fillId="0" borderId="0" xfId="1" applyNumberFormat="1" applyFont="1" applyAlignment="1">
      <alignment vertical="center"/>
    </xf>
    <xf numFmtId="167" fontId="8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167" fontId="7" fillId="2" borderId="31" xfId="1" applyNumberFormat="1" applyFont="1" applyFill="1" applyBorder="1" applyAlignment="1">
      <alignment vertical="center"/>
    </xf>
    <xf numFmtId="167" fontId="7" fillId="2" borderId="1" xfId="1" applyNumberFormat="1" applyFont="1" applyFill="1" applyBorder="1" applyAlignment="1">
      <alignment vertical="center"/>
    </xf>
    <xf numFmtId="1" fontId="13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/>
    <xf numFmtId="1" fontId="13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/>
    <xf numFmtId="167" fontId="17" fillId="0" borderId="0" xfId="1" applyNumberFormat="1" applyFont="1" applyFill="1" applyBorder="1" applyAlignment="1">
      <alignment horizontal="right"/>
    </xf>
    <xf numFmtId="167" fontId="17" fillId="0" borderId="31" xfId="1" applyNumberFormat="1" applyFont="1" applyBorder="1" applyAlignment="1">
      <alignment horizontal="right"/>
    </xf>
    <xf numFmtId="167" fontId="17" fillId="0" borderId="1" xfId="1" applyNumberFormat="1" applyFont="1" applyBorder="1" applyAlignment="1">
      <alignment horizontal="right"/>
    </xf>
    <xf numFmtId="1" fontId="18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7" fillId="0" borderId="0" xfId="0" applyNumberFormat="1" applyFont="1"/>
    <xf numFmtId="167" fontId="17" fillId="2" borderId="31" xfId="1" applyNumberFormat="1" applyFont="1" applyFill="1" applyBorder="1" applyAlignment="1">
      <alignment horizontal="right"/>
    </xf>
    <xf numFmtId="167" fontId="17" fillId="2" borderId="1" xfId="1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164" fontId="1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vertical="center"/>
    </xf>
    <xf numFmtId="1" fontId="18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7" fillId="0" borderId="13" xfId="0" quotePrefix="1" applyNumberFormat="1" applyFont="1" applyFill="1" applyBorder="1" applyAlignment="1">
      <alignment horizontal="center"/>
    </xf>
    <xf numFmtId="168" fontId="7" fillId="0" borderId="0" xfId="0" quotePrefix="1" applyNumberFormat="1" applyFont="1" applyFill="1" applyBorder="1" applyAlignment="1">
      <alignment horizontal="center" wrapText="1"/>
    </xf>
    <xf numFmtId="168" fontId="7" fillId="0" borderId="0" xfId="0" quotePrefix="1" applyNumberFormat="1" applyFont="1" applyFill="1" applyBorder="1" applyAlignment="1">
      <alignment horizontal="center"/>
    </xf>
    <xf numFmtId="164" fontId="7" fillId="0" borderId="0" xfId="0" quotePrefix="1" applyNumberFormat="1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vertical="center"/>
    </xf>
    <xf numFmtId="167" fontId="7" fillId="0" borderId="0" xfId="1" quotePrefix="1" applyNumberFormat="1" applyFont="1" applyFill="1" applyBorder="1" applyAlignment="1">
      <alignment horizontal="right"/>
    </xf>
    <xf numFmtId="1" fontId="13" fillId="0" borderId="0" xfId="0" quotePrefix="1" applyNumberFormat="1" applyFont="1" applyFill="1" applyBorder="1" applyAlignment="1">
      <alignment horizontal="center"/>
    </xf>
    <xf numFmtId="168" fontId="13" fillId="0" borderId="0" xfId="0" quotePrefix="1" applyNumberFormat="1" applyFont="1" applyFill="1" applyBorder="1" applyAlignment="1">
      <alignment horizontal="center"/>
    </xf>
    <xf numFmtId="168" fontId="7" fillId="0" borderId="14" xfId="0" quotePrefix="1" applyNumberFormat="1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3" fontId="8" fillId="0" borderId="11" xfId="0" applyNumberFormat="1" applyFont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0" fontId="8" fillId="0" borderId="13" xfId="0" applyFont="1" applyBorder="1"/>
    <xf numFmtId="0" fontId="8" fillId="0" borderId="0" xfId="0" applyFont="1" applyBorder="1"/>
    <xf numFmtId="3" fontId="8" fillId="0" borderId="0" xfId="0" applyNumberFormat="1" applyFont="1" applyBorder="1"/>
    <xf numFmtId="164" fontId="8" fillId="0" borderId="0" xfId="0" applyNumberFormat="1" applyFont="1" applyBorder="1"/>
    <xf numFmtId="164" fontId="8" fillId="0" borderId="14" xfId="0" applyNumberFormat="1" applyFont="1" applyBorder="1"/>
    <xf numFmtId="165" fontId="8" fillId="0" borderId="13" xfId="0" applyNumberFormat="1" applyFont="1" applyBorder="1"/>
    <xf numFmtId="3" fontId="8" fillId="0" borderId="0" xfId="0" applyNumberFormat="1" applyFont="1" applyFill="1" applyBorder="1" applyProtection="1">
      <protection locked="0"/>
    </xf>
    <xf numFmtId="164" fontId="8" fillId="0" borderId="0" xfId="0" applyNumberFormat="1" applyFont="1" applyFill="1" applyBorder="1"/>
    <xf numFmtId="3" fontId="8" fillId="0" borderId="0" xfId="0" applyNumberFormat="1" applyFont="1" applyFill="1" applyBorder="1"/>
    <xf numFmtId="165" fontId="8" fillId="0" borderId="15" xfId="0" applyNumberFormat="1" applyFont="1" applyBorder="1"/>
    <xf numFmtId="0" fontId="8" fillId="0" borderId="3" xfId="0" applyFont="1" applyFill="1" applyBorder="1"/>
    <xf numFmtId="3" fontId="8" fillId="0" borderId="3" xfId="0" applyNumberFormat="1" applyFont="1" applyFill="1" applyBorder="1"/>
    <xf numFmtId="164" fontId="8" fillId="0" borderId="3" xfId="0" applyNumberFormat="1" applyFont="1" applyFill="1" applyBorder="1"/>
    <xf numFmtId="164" fontId="8" fillId="0" borderId="16" xfId="0" applyNumberFormat="1" applyFont="1" applyBorder="1"/>
    <xf numFmtId="0" fontId="8" fillId="0" borderId="15" xfId="0" applyFont="1" applyBorder="1"/>
    <xf numFmtId="0" fontId="8" fillId="0" borderId="3" xfId="0" applyFont="1" applyBorder="1"/>
    <xf numFmtId="9" fontId="15" fillId="0" borderId="3" xfId="0" applyNumberFormat="1" applyFont="1" applyBorder="1"/>
    <xf numFmtId="164" fontId="8" fillId="0" borderId="3" xfId="0" applyNumberFormat="1" applyFont="1" applyBorder="1"/>
    <xf numFmtId="0" fontId="8" fillId="0" borderId="7" xfId="0" applyFont="1" applyBorder="1"/>
    <xf numFmtId="0" fontId="8" fillId="0" borderId="8" xfId="0" applyFont="1" applyBorder="1"/>
    <xf numFmtId="3" fontId="8" fillId="0" borderId="8" xfId="0" applyNumberFormat="1" applyFont="1" applyBorder="1"/>
    <xf numFmtId="164" fontId="8" fillId="0" borderId="8" xfId="0" applyNumberFormat="1" applyFont="1" applyBorder="1"/>
    <xf numFmtId="164" fontId="8" fillId="0" borderId="9" xfId="0" applyNumberFormat="1" applyFont="1" applyBorder="1"/>
    <xf numFmtId="166" fontId="8" fillId="0" borderId="3" xfId="0" applyNumberFormat="1" applyFont="1" applyBorder="1"/>
    <xf numFmtId="0" fontId="8" fillId="0" borderId="8" xfId="0" applyFont="1" applyFill="1" applyBorder="1"/>
    <xf numFmtId="166" fontId="8" fillId="0" borderId="8" xfId="0" applyNumberFormat="1" applyFont="1" applyBorder="1"/>
    <xf numFmtId="164" fontId="7" fillId="0" borderId="16" xfId="0" applyNumberFormat="1" applyFont="1" applyBorder="1"/>
    <xf numFmtId="166" fontId="8" fillId="0" borderId="0" xfId="0" applyNumberFormat="1" applyFont="1"/>
    <xf numFmtId="164" fontId="8" fillId="0" borderId="0" xfId="0" applyNumberFormat="1" applyFont="1"/>
    <xf numFmtId="3" fontId="8" fillId="0" borderId="3" xfId="0" applyNumberFormat="1" applyFont="1" applyBorder="1"/>
    <xf numFmtId="4" fontId="8" fillId="0" borderId="0" xfId="0" applyNumberFormat="1" applyFont="1" applyBorder="1"/>
    <xf numFmtId="0" fontId="7" fillId="0" borderId="7" xfId="0" applyFont="1" applyBorder="1"/>
    <xf numFmtId="164" fontId="7" fillId="0" borderId="9" xfId="0" applyNumberFormat="1" applyFont="1" applyBorder="1"/>
    <xf numFmtId="166" fontId="8" fillId="0" borderId="14" xfId="0" applyNumberFormat="1" applyFont="1" applyBorder="1"/>
    <xf numFmtId="166" fontId="8" fillId="0" borderId="16" xfId="0" applyNumberFormat="1" applyFont="1" applyBorder="1"/>
    <xf numFmtId="0" fontId="7" fillId="0" borderId="2" xfId="0" applyFont="1" applyBorder="1" applyAlignment="1">
      <alignment horizontal="right"/>
    </xf>
    <xf numFmtId="0" fontId="8" fillId="0" borderId="1" xfId="0" quotePrefix="1" applyFont="1" applyBorder="1"/>
    <xf numFmtId="0" fontId="8" fillId="0" borderId="1" xfId="0" quotePrefix="1" applyFont="1" applyFill="1" applyBorder="1"/>
    <xf numFmtId="164" fontId="8" fillId="0" borderId="1" xfId="0" quotePrefix="1" applyNumberFormat="1" applyFont="1" applyFill="1" applyBorder="1"/>
    <xf numFmtId="164" fontId="8" fillId="0" borderId="1" xfId="0" quotePrefix="1" applyNumberFormat="1" applyFont="1" applyBorder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9" fontId="8" fillId="0" borderId="0" xfId="0" applyNumberFormat="1" applyFont="1"/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69" fontId="8" fillId="0" borderId="0" xfId="1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169" fontId="8" fillId="0" borderId="18" xfId="1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>
      <alignment horizontal="left"/>
    </xf>
    <xf numFmtId="0" fontId="7" fillId="2" borderId="18" xfId="0" applyFont="1" applyFill="1" applyBorder="1" applyAlignment="1">
      <alignment horizontal="center"/>
    </xf>
    <xf numFmtId="164" fontId="7" fillId="2" borderId="19" xfId="2" applyNumberFormat="1" applyFont="1" applyFill="1" applyBorder="1" applyAlignment="1">
      <alignment horizontal="center"/>
    </xf>
    <xf numFmtId="169" fontId="7" fillId="2" borderId="18" xfId="1" applyNumberFormat="1" applyFont="1" applyFill="1" applyBorder="1" applyAlignment="1">
      <alignment horizontal="right" vertical="center"/>
    </xf>
    <xf numFmtId="1" fontId="13" fillId="2" borderId="51" xfId="1" applyNumberFormat="1" applyFont="1" applyFill="1" applyBorder="1" applyAlignment="1">
      <alignment horizontal="center" vertical="center"/>
    </xf>
    <xf numFmtId="164" fontId="12" fillId="2" borderId="2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wrapText="1"/>
    </xf>
    <xf numFmtId="164" fontId="8" fillId="0" borderId="1" xfId="2" applyNumberFormat="1" applyFont="1" applyFill="1" applyBorder="1" applyAlignment="1">
      <alignment horizontal="center"/>
    </xf>
    <xf numFmtId="165" fontId="7" fillId="2" borderId="3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64" fontId="7" fillId="2" borderId="4" xfId="2" applyNumberFormat="1" applyFont="1" applyFill="1" applyBorder="1" applyAlignment="1">
      <alignment horizontal="center"/>
    </xf>
    <xf numFmtId="169" fontId="7" fillId="2" borderId="1" xfId="1" applyNumberFormat="1" applyFont="1" applyFill="1" applyBorder="1" applyAlignment="1">
      <alignment horizontal="right"/>
    </xf>
    <xf numFmtId="1" fontId="13" fillId="2" borderId="6" xfId="1" applyNumberFormat="1" applyFont="1" applyFill="1" applyBorder="1" applyAlignment="1">
      <alignment horizontal="center" vertical="center"/>
    </xf>
    <xf numFmtId="164" fontId="12" fillId="2" borderId="32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wrapText="1"/>
    </xf>
    <xf numFmtId="167" fontId="15" fillId="0" borderId="1" xfId="1" applyNumberFormat="1" applyFont="1" applyFill="1" applyBorder="1" applyAlignment="1">
      <alignment horizontal="right"/>
    </xf>
    <xf numFmtId="1" fontId="15" fillId="0" borderId="6" xfId="1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164" fontId="8" fillId="0" borderId="0" xfId="2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/>
    <xf numFmtId="165" fontId="7" fillId="2" borderId="38" xfId="0" applyNumberFormat="1" applyFont="1" applyFill="1" applyBorder="1" applyAlignment="1"/>
    <xf numFmtId="169" fontId="7" fillId="2" borderId="38" xfId="1" applyNumberFormat="1" applyFont="1" applyFill="1" applyBorder="1" applyAlignment="1">
      <alignment horizontal="right"/>
    </xf>
    <xf numFmtId="165" fontId="7" fillId="2" borderId="39" xfId="0" applyNumberFormat="1" applyFont="1" applyFill="1" applyBorder="1" applyAlignment="1"/>
    <xf numFmtId="0" fontId="8" fillId="0" borderId="26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9" fontId="7" fillId="0" borderId="3" xfId="1" applyNumberFormat="1" applyFont="1" applyBorder="1" applyAlignment="1">
      <alignment horizontal="right"/>
    </xf>
    <xf numFmtId="1" fontId="13" fillId="0" borderId="3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9" fontId="8" fillId="0" borderId="0" xfId="1" applyNumberFormat="1" applyFont="1" applyAlignment="1">
      <alignment horizontal="right"/>
    </xf>
    <xf numFmtId="167" fontId="7" fillId="2" borderId="27" xfId="1" applyNumberFormat="1" applyFont="1" applyFill="1" applyBorder="1" applyAlignment="1">
      <alignment vertical="center"/>
    </xf>
    <xf numFmtId="164" fontId="7" fillId="2" borderId="29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4" fontId="19" fillId="0" borderId="44" xfId="0" applyNumberFormat="1" applyFont="1" applyBorder="1" applyAlignment="1">
      <alignment horizontal="center"/>
    </xf>
    <xf numFmtId="44" fontId="7" fillId="0" borderId="0" xfId="2" applyFont="1" applyAlignment="1">
      <alignment horizontal="center"/>
    </xf>
    <xf numFmtId="4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8" fillId="0" borderId="1" xfId="3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1" xfId="0" quotePrefix="1" applyNumberFormat="1" applyBorder="1"/>
    <xf numFmtId="44" fontId="0" fillId="0" borderId="1" xfId="2" applyFont="1" applyBorder="1"/>
    <xf numFmtId="44" fontId="1" fillId="0" borderId="1" xfId="0" applyNumberFormat="1" applyFont="1" applyBorder="1"/>
    <xf numFmtId="0" fontId="0" fillId="0" borderId="1" xfId="0" applyBorder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21" fillId="0" borderId="1" xfId="0" applyNumberFormat="1" applyFont="1" applyBorder="1"/>
    <xf numFmtId="164" fontId="0" fillId="0" borderId="0" xfId="0" applyNumberFormat="1" applyAlignment="1">
      <alignment horizontal="right"/>
    </xf>
    <xf numFmtId="169" fontId="8" fillId="0" borderId="43" xfId="1" applyNumberFormat="1" applyFont="1" applyFill="1" applyBorder="1" applyAlignment="1">
      <alignment horizontal="right"/>
    </xf>
    <xf numFmtId="169" fontId="8" fillId="0" borderId="27" xfId="1" applyNumberFormat="1" applyFont="1" applyFill="1" applyBorder="1" applyAlignment="1">
      <alignment horizontal="right" vertical="center"/>
    </xf>
    <xf numFmtId="169" fontId="8" fillId="0" borderId="29" xfId="1" applyNumberFormat="1" applyFont="1" applyFill="1" applyBorder="1" applyAlignment="1">
      <alignment horizontal="right" vertical="center"/>
    </xf>
    <xf numFmtId="164" fontId="8" fillId="0" borderId="52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164" fontId="8" fillId="0" borderId="35" xfId="2" applyNumberFormat="1" applyFont="1" applyFill="1" applyBorder="1" applyAlignment="1">
      <alignment horizontal="center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8" fillId="0" borderId="4" xfId="2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31" xfId="1" applyNumberFormat="1" applyFont="1" applyBorder="1" applyAlignment="1">
      <alignment horizontal="right"/>
    </xf>
    <xf numFmtId="167" fontId="7" fillId="0" borderId="1" xfId="1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8" fontId="7" fillId="0" borderId="13" xfId="0" quotePrefix="1" applyNumberFormat="1" applyFont="1" applyFill="1" applyBorder="1" applyAlignment="1">
      <alignment horizontal="center"/>
    </xf>
    <xf numFmtId="168" fontId="7" fillId="0" borderId="0" xfId="0" quotePrefix="1" applyNumberFormat="1" applyFont="1" applyFill="1" applyBorder="1" applyAlignment="1">
      <alignment horizontal="center"/>
    </xf>
    <xf numFmtId="168" fontId="7" fillId="0" borderId="14" xfId="0" quotePrefix="1" applyNumberFormat="1" applyFont="1" applyFill="1" applyBorder="1" applyAlignment="1">
      <alignment horizontal="center"/>
    </xf>
    <xf numFmtId="165" fontId="7" fillId="2" borderId="37" xfId="0" applyNumberFormat="1" applyFont="1" applyFill="1" applyBorder="1" applyAlignment="1">
      <alignment horizontal="left"/>
    </xf>
    <xf numFmtId="165" fontId="7" fillId="2" borderId="38" xfId="0" applyNumberFormat="1" applyFont="1" applyFill="1" applyBorder="1" applyAlignment="1">
      <alignment horizontal="left"/>
    </xf>
    <xf numFmtId="165" fontId="7" fillId="2" borderId="39" xfId="0" applyNumberFormat="1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167" fontId="8" fillId="0" borderId="45" xfId="1" applyNumberFormat="1" applyFont="1" applyBorder="1" applyAlignment="1">
      <alignment horizontal="center"/>
    </xf>
    <xf numFmtId="167" fontId="8" fillId="0" borderId="46" xfId="1" applyNumberFormat="1" applyFont="1" applyBorder="1" applyAlignment="1">
      <alignment horizontal="center"/>
    </xf>
    <xf numFmtId="167" fontId="7" fillId="0" borderId="31" xfId="1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>
      <alignment horizontal="right" vertical="center"/>
    </xf>
    <xf numFmtId="167" fontId="7" fillId="2" borderId="31" xfId="1" applyNumberFormat="1" applyFont="1" applyFill="1" applyBorder="1" applyAlignment="1">
      <alignment horizontal="right" vertical="center"/>
    </xf>
    <xf numFmtId="167" fontId="7" fillId="2" borderId="1" xfId="1" applyNumberFormat="1" applyFont="1" applyFill="1" applyBorder="1" applyAlignment="1">
      <alignment horizontal="right" vertic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167" fontId="7" fillId="0" borderId="13" xfId="1" applyNumberFormat="1" applyFont="1" applyFill="1" applyBorder="1" applyAlignment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7" fillId="0" borderId="48" xfId="1" applyNumberFormat="1" applyFont="1" applyFill="1" applyBorder="1" applyAlignment="1">
      <alignment horizontal="right" vertical="center"/>
    </xf>
    <xf numFmtId="167" fontId="7" fillId="2" borderId="13" xfId="1" applyNumberFormat="1" applyFont="1" applyFill="1" applyBorder="1" applyAlignment="1">
      <alignment horizontal="right" vertical="center"/>
    </xf>
    <xf numFmtId="167" fontId="7" fillId="2" borderId="0" xfId="1" applyNumberFormat="1" applyFont="1" applyFill="1" applyBorder="1" applyAlignment="1">
      <alignment horizontal="right" vertical="center"/>
    </xf>
    <xf numFmtId="167" fontId="7" fillId="2" borderId="48" xfId="1" applyNumberFormat="1" applyFont="1" applyFill="1" applyBorder="1" applyAlignment="1">
      <alignment horizontal="right" vertical="center"/>
    </xf>
    <xf numFmtId="167" fontId="17" fillId="0" borderId="13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48" xfId="1" applyNumberFormat="1" applyFont="1" applyBorder="1" applyAlignment="1">
      <alignment horizontal="right"/>
    </xf>
    <xf numFmtId="167" fontId="17" fillId="2" borderId="13" xfId="1" applyNumberFormat="1" applyFont="1" applyFill="1" applyBorder="1" applyAlignment="1">
      <alignment horizontal="right"/>
    </xf>
    <xf numFmtId="167" fontId="17" fillId="2" borderId="0" xfId="1" applyNumberFormat="1" applyFont="1" applyFill="1" applyBorder="1" applyAlignment="1">
      <alignment horizontal="right"/>
    </xf>
    <xf numFmtId="167" fontId="17" fillId="2" borderId="48" xfId="1" applyNumberFormat="1" applyFont="1" applyFill="1" applyBorder="1" applyAlignment="1">
      <alignment horizontal="right"/>
    </xf>
    <xf numFmtId="167" fontId="7" fillId="0" borderId="15" xfId="1" applyNumberFormat="1" applyFont="1" applyBorder="1" applyAlignment="1">
      <alignment horizontal="right"/>
    </xf>
    <xf numFmtId="167" fontId="7" fillId="0" borderId="3" xfId="1" applyNumberFormat="1" applyFont="1" applyBorder="1" applyAlignment="1">
      <alignment horizontal="right"/>
    </xf>
    <xf numFmtId="167" fontId="7" fillId="0" borderId="47" xfId="1" applyNumberFormat="1" applyFont="1" applyBorder="1" applyAlignment="1">
      <alignment horizontal="right"/>
    </xf>
    <xf numFmtId="0" fontId="8" fillId="0" borderId="5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39" xfId="0" applyFont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DOTSW\WSW10-11032\Estimates\Bi%20Annual%20Estimates\April%202015\1005-10-77\1005-10-77_Cost_Estimate_1504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cpit-my.sharepoint.com/0001%20OFF%20SITE/0008%20TTP%20Planning/RAISE/SF424C/2021%20BUILD%20GRANT%20COST%20ESTIMATE%20EDITED%20202106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C1000"/>
      <sheetName val="C2000"/>
      <sheetName val="C2020"/>
      <sheetName val="C2040"/>
      <sheetName val="C2060"/>
      <sheetName val="C2080"/>
      <sheetName val="C4000"/>
      <sheetName val="C5000"/>
      <sheetName val="C9999"/>
      <sheetName val="C1112"/>
      <sheetName val="CONCRETE PAVEMENT"/>
      <sheetName val="HMA PAVEMENT"/>
      <sheetName val="CONCRETE SIDEWALK"/>
      <sheetName val="CONCRETE BARRIER"/>
      <sheetName val="TEMP CONCRETE BARRIER"/>
      <sheetName val="SIGN BRIDGES"/>
      <sheetName val="CURB-GUTTER"/>
      <sheetName val="RETAINING NOISE WALLS"/>
      <sheetName val="BASE AGG &amp; SELECT"/>
      <sheetName val="REMOVALS"/>
      <sheetName val="EXCAVATION"/>
      <sheetName val="SHEET PILING"/>
      <sheetName val="PULL DOWNS - DO NOT DELE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Project 1003-10-70</v>
          </cell>
        </row>
        <row r="4">
          <cell r="B4" t="str">
            <v>Project 1003-10-71</v>
          </cell>
        </row>
        <row r="5">
          <cell r="B5" t="str">
            <v>Project 1003-10-72</v>
          </cell>
        </row>
        <row r="6">
          <cell r="B6" t="str">
            <v>Project 1003-10-73</v>
          </cell>
        </row>
        <row r="7">
          <cell r="B7" t="str">
            <v>Project 1003-10-74</v>
          </cell>
        </row>
        <row r="8">
          <cell r="B8" t="str">
            <v>Project 1003-10-75</v>
          </cell>
        </row>
        <row r="9">
          <cell r="B9" t="str">
            <v>Project 1003-10-76</v>
          </cell>
        </row>
        <row r="10">
          <cell r="B10" t="str">
            <v>Project 1003-10-77</v>
          </cell>
        </row>
        <row r="11">
          <cell r="B11" t="str">
            <v>Project 1003-10-78</v>
          </cell>
        </row>
        <row r="12">
          <cell r="B12" t="str">
            <v>Project 1003-10-79</v>
          </cell>
        </row>
        <row r="13">
          <cell r="B13" t="str">
            <v>Project 1003-10-80</v>
          </cell>
        </row>
        <row r="14">
          <cell r="B14" t="str">
            <v>Project 1003-10-81</v>
          </cell>
        </row>
        <row r="15">
          <cell r="B15" t="str">
            <v>Project 1003-10-82</v>
          </cell>
        </row>
        <row r="16">
          <cell r="B16" t="str">
            <v>Project 1003-10-83</v>
          </cell>
        </row>
        <row r="17">
          <cell r="B17" t="str">
            <v>Project 1003-10-84</v>
          </cell>
        </row>
        <row r="18">
          <cell r="B18" t="str">
            <v>Project 1003-10-86</v>
          </cell>
        </row>
        <row r="19">
          <cell r="B19" t="str">
            <v>Project 1005-10-70</v>
          </cell>
        </row>
        <row r="20">
          <cell r="B20" t="str">
            <v>Project 1005-10-71</v>
          </cell>
        </row>
        <row r="21">
          <cell r="B21" t="str">
            <v>Project 1005-10-72</v>
          </cell>
        </row>
        <row r="22">
          <cell r="B22" t="str">
            <v>Project 1005-10-73</v>
          </cell>
        </row>
        <row r="23">
          <cell r="B23" t="str">
            <v>Project 1005-10-75</v>
          </cell>
        </row>
        <row r="24">
          <cell r="B24" t="str">
            <v>Project 1005-10-76</v>
          </cell>
        </row>
        <row r="25">
          <cell r="B25" t="str">
            <v>Project 1005-10-77</v>
          </cell>
        </row>
        <row r="26">
          <cell r="B26" t="str">
            <v>Project 1005-10-78</v>
          </cell>
        </row>
        <row r="27">
          <cell r="B27" t="str">
            <v>Project 1005-10-81</v>
          </cell>
        </row>
        <row r="28">
          <cell r="B28" t="str">
            <v>Project 1007-10-61</v>
          </cell>
        </row>
        <row r="29">
          <cell r="B29" t="str">
            <v>Project 1007-10-62</v>
          </cell>
        </row>
        <row r="30">
          <cell r="B30" t="str">
            <v>Project 1007-10-70</v>
          </cell>
        </row>
        <row r="31">
          <cell r="B31" t="str">
            <v>Project 1007-10-71</v>
          </cell>
        </row>
        <row r="32">
          <cell r="B32" t="str">
            <v>Project 1007-10-72</v>
          </cell>
        </row>
        <row r="33">
          <cell r="B33" t="str">
            <v>Project 1007-10-73</v>
          </cell>
        </row>
        <row r="34">
          <cell r="B34" t="str">
            <v>Project 1007-10-75</v>
          </cell>
        </row>
        <row r="35">
          <cell r="B35" t="str">
            <v>Project 1007-10-76</v>
          </cell>
        </row>
        <row r="36">
          <cell r="B36" t="str">
            <v>Project 1007-10-78</v>
          </cell>
        </row>
        <row r="37">
          <cell r="B37" t="str">
            <v>Project 1007-10-79</v>
          </cell>
        </row>
        <row r="38">
          <cell r="B38" t="str">
            <v>Project 1007-10-81</v>
          </cell>
        </row>
        <row r="39">
          <cell r="B39" t="str">
            <v>Project 1007-10-84</v>
          </cell>
        </row>
        <row r="40">
          <cell r="B40" t="str">
            <v>Project 1007-10-86</v>
          </cell>
        </row>
        <row r="41">
          <cell r="B41" t="str">
            <v>Project 1007-10-87</v>
          </cell>
        </row>
        <row r="42">
          <cell r="B42" t="str">
            <v>Project 1007-10-88</v>
          </cell>
        </row>
        <row r="43">
          <cell r="B43" t="str">
            <v>Project 1007-10-89</v>
          </cell>
        </row>
        <row r="44">
          <cell r="B44" t="str">
            <v>Project 1007-11-70</v>
          </cell>
        </row>
        <row r="45">
          <cell r="B45" t="str">
            <v>Project 1007-11-71</v>
          </cell>
        </row>
        <row r="46">
          <cell r="B46" t="str">
            <v>Project 1007-11-74</v>
          </cell>
        </row>
        <row r="47">
          <cell r="B47" t="str">
            <v>Project 1007-11-75</v>
          </cell>
        </row>
        <row r="48">
          <cell r="B48" t="str">
            <v>Project 1007-11-76</v>
          </cell>
        </row>
        <row r="49">
          <cell r="B49" t="str">
            <v>Project 1066-02-75</v>
          </cell>
        </row>
        <row r="50">
          <cell r="B50" t="str">
            <v>Project 3070-00-72</v>
          </cell>
        </row>
        <row r="51">
          <cell r="B51" t="str">
            <v>Project 3070-00-73</v>
          </cell>
        </row>
        <row r="52">
          <cell r="B52" t="str">
            <v>Project 3070-00-74</v>
          </cell>
        </row>
        <row r="53">
          <cell r="B53" t="str">
            <v>Project 3080-10-71</v>
          </cell>
        </row>
        <row r="54">
          <cell r="B54" t="str">
            <v>Project 3621-00-76</v>
          </cell>
        </row>
        <row r="55">
          <cell r="B55" t="str">
            <v>Project 3653-00-72</v>
          </cell>
        </row>
        <row r="56">
          <cell r="B56" t="str">
            <v>Project 5390-00-72</v>
          </cell>
        </row>
        <row r="57">
          <cell r="B57" t="str">
            <v>Project 5390-00-73</v>
          </cell>
        </row>
        <row r="58">
          <cell r="B58" t="str">
            <v>Project 5569-00-71</v>
          </cell>
        </row>
        <row r="59">
          <cell r="B59" t="str">
            <v>Project 5569-00-72</v>
          </cell>
        </row>
        <row r="60">
          <cell r="B60" t="str">
            <v>Project 5569-00-73</v>
          </cell>
        </row>
        <row r="61">
          <cell r="B61" t="str">
            <v>Project 5966-00-72</v>
          </cell>
        </row>
        <row r="62">
          <cell r="B62" t="str">
            <v>Project 5966-00-73</v>
          </cell>
        </row>
        <row r="63">
          <cell r="B63" t="str">
            <v>Project 5966-10-70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424C"/>
      <sheetName val="Summary"/>
      <sheetName val="Narrative Summary"/>
      <sheetName val="US 8 at Youngs Lane"/>
      <sheetName val="US 8 Corridor Bike_Ped"/>
      <sheetName val="MKS_FK_Bike_Ped"/>
      <sheetName val="ATV Trail"/>
    </sheetNames>
    <sheetDataSet>
      <sheetData sheetId="0"/>
      <sheetData sheetId="1"/>
      <sheetData sheetId="2"/>
      <sheetData sheetId="3">
        <row r="16">
          <cell r="H16">
            <v>1072130.67</v>
          </cell>
        </row>
      </sheetData>
      <sheetData sheetId="4">
        <row r="71">
          <cell r="K71">
            <v>6672844.6011538673</v>
          </cell>
        </row>
      </sheetData>
      <sheetData sheetId="5">
        <row r="37">
          <cell r="F37">
            <v>672268.01221345994</v>
          </cell>
        </row>
      </sheetData>
      <sheetData sheetId="6">
        <row r="40">
          <cell r="F40">
            <v>699053.09516900009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D19" sqref="D19"/>
    </sheetView>
  </sheetViews>
  <sheetFormatPr defaultRowHeight="14.75" x14ac:dyDescent="0.75"/>
  <cols>
    <col min="1" max="1" width="50.7265625" customWidth="1"/>
    <col min="2" max="2" width="5.7265625" customWidth="1"/>
    <col min="3" max="3" width="10.7265625" customWidth="1"/>
    <col min="4" max="4" width="10.7265625" style="2" customWidth="1"/>
    <col min="5" max="5" width="13.40625" style="1" bestFit="1" customWidth="1"/>
    <col min="10" max="10" width="13.1328125" customWidth="1"/>
  </cols>
  <sheetData>
    <row r="1" spans="1:7" x14ac:dyDescent="0.75">
      <c r="A1" s="352" t="s">
        <v>238</v>
      </c>
      <c r="B1" s="353"/>
      <c r="C1" s="353"/>
      <c r="D1" s="354"/>
      <c r="E1" s="327" t="s">
        <v>3</v>
      </c>
    </row>
    <row r="2" spans="1:7" x14ac:dyDescent="0.75">
      <c r="A2" s="355" t="s">
        <v>239</v>
      </c>
      <c r="B2" s="353"/>
      <c r="C2" s="353"/>
      <c r="D2" s="354"/>
      <c r="E2" s="330">
        <f>G2*0.75</f>
        <v>983139.80353671266</v>
      </c>
      <c r="G2">
        <f>0.781333400881935*'Pathway to Wellness'!K71+'Stone Lake Pathway'!F37+'Stone Lake ATV Trail'!F38</f>
        <v>1310853.0713822835</v>
      </c>
    </row>
    <row r="3" spans="1:7" x14ac:dyDescent="0.75">
      <c r="A3" s="355" t="s">
        <v>240</v>
      </c>
      <c r="B3" s="353"/>
      <c r="C3" s="353"/>
      <c r="D3" s="354"/>
      <c r="E3" s="330">
        <f>G2*0.25</f>
        <v>327713.26784557087</v>
      </c>
    </row>
    <row r="4" spans="1:7" x14ac:dyDescent="0.75">
      <c r="A4" s="355" t="s">
        <v>241</v>
      </c>
      <c r="B4" s="353"/>
      <c r="C4" s="353"/>
      <c r="D4" s="354"/>
      <c r="E4" s="330">
        <f>0.781333400881935*'Pathway to Wellness'!K72+'Hwy 8 Re-Grade'!H14+'Stone Lake Pathway'!F38+'Stone Lake ATV Trail'!F39</f>
        <v>1009533.4451892162</v>
      </c>
    </row>
    <row r="5" spans="1:7" x14ac:dyDescent="0.75">
      <c r="A5" s="355" t="s">
        <v>242</v>
      </c>
      <c r="B5" s="356"/>
      <c r="C5" s="356"/>
      <c r="D5" s="357"/>
      <c r="E5" s="330">
        <f>0.781333400881935*'Pathway to Wellness'!K68+'Hwy 8 Re-Grade'!H11+'Stone Lake Pathway'!F34+'Stone Lake ATV Trail'!F35</f>
        <v>6440897.4362936104</v>
      </c>
    </row>
    <row r="6" spans="1:7" x14ac:dyDescent="0.75">
      <c r="A6" s="352" t="s">
        <v>243</v>
      </c>
      <c r="B6" s="353"/>
      <c r="C6" s="353"/>
      <c r="D6" s="354"/>
      <c r="E6" s="330">
        <f>0.781333400881935*'Pathway to Wellness'!K69+'Hwy 8 Re-Grade'!H12+'Stone Lake ATV Trail'!F36+'Stone Lake Pathway'!F35</f>
        <v>770055.74362936104</v>
      </c>
    </row>
    <row r="7" spans="1:7" x14ac:dyDescent="0.75">
      <c r="A7" s="334" t="s">
        <v>211</v>
      </c>
      <c r="E7" s="335">
        <f>SUM(E2:E6)</f>
        <v>9531339.6964944694</v>
      </c>
    </row>
    <row r="8" spans="1:7" x14ac:dyDescent="0.75">
      <c r="E8" s="337"/>
    </row>
  </sheetData>
  <mergeCells count="6">
    <mergeCell ref="A6:D6"/>
    <mergeCell ref="A1:D1"/>
    <mergeCell ref="A2:D2"/>
    <mergeCell ref="A3:D3"/>
    <mergeCell ref="A4:D4"/>
    <mergeCell ref="A5:D5"/>
  </mergeCells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20" zoomScaleNormal="120" workbookViewId="0">
      <selection activeCell="F8" sqref="F8"/>
    </sheetView>
  </sheetViews>
  <sheetFormatPr defaultRowHeight="14.75" x14ac:dyDescent="0.75"/>
  <cols>
    <col min="1" max="1" width="41.54296875" bestFit="1" customWidth="1"/>
    <col min="2" max="2" width="16.54296875" bestFit="1" customWidth="1"/>
    <col min="3" max="3" width="14.26953125" bestFit="1" customWidth="1"/>
    <col min="4" max="4" width="14.26953125" customWidth="1"/>
    <col min="5" max="5" width="14" bestFit="1" customWidth="1"/>
    <col min="6" max="6" width="15.40625" bestFit="1" customWidth="1"/>
    <col min="10" max="10" width="12" bestFit="1" customWidth="1"/>
  </cols>
  <sheetData>
    <row r="1" spans="1:18" x14ac:dyDescent="0.75">
      <c r="A1" s="358" t="s">
        <v>0</v>
      </c>
      <c r="B1" s="358"/>
      <c r="C1" s="358"/>
      <c r="D1" s="358"/>
      <c r="E1" s="358"/>
      <c r="F1" s="358"/>
    </row>
    <row r="3" spans="1:18" x14ac:dyDescent="0.75">
      <c r="A3" s="44" t="s">
        <v>1</v>
      </c>
      <c r="B3" s="44" t="s">
        <v>253</v>
      </c>
      <c r="C3" s="44" t="s">
        <v>254</v>
      </c>
      <c r="D3" s="44" t="s">
        <v>255</v>
      </c>
      <c r="E3" s="44" t="s">
        <v>2</v>
      </c>
      <c r="F3" s="44" t="s">
        <v>3</v>
      </c>
      <c r="G3" s="43"/>
    </row>
    <row r="4" spans="1:18" x14ac:dyDescent="0.75">
      <c r="A4" s="45" t="s">
        <v>4</v>
      </c>
      <c r="B4" s="46">
        <f>'Pathway to Wellness'!K78</f>
        <v>6291176.9995015562</v>
      </c>
      <c r="C4" s="47">
        <f>'Pathway to Wellness'!K77</f>
        <v>1760670</v>
      </c>
      <c r="D4" s="47" t="s">
        <v>5</v>
      </c>
      <c r="E4" s="51">
        <f>C4/F4</f>
        <v>0.21866659911806485</v>
      </c>
      <c r="F4" s="46">
        <f>SUM(B4:C4)</f>
        <v>8051846.9995015562</v>
      </c>
      <c r="G4" s="43"/>
    </row>
    <row r="5" spans="1:18" x14ac:dyDescent="0.75">
      <c r="A5" s="45" t="s">
        <v>6</v>
      </c>
      <c r="B5" s="46">
        <f>'Stone Lake Pathway'!F39</f>
        <v>817894.72182391607</v>
      </c>
      <c r="C5" s="47" t="s">
        <v>5</v>
      </c>
      <c r="D5" s="47" t="s">
        <v>5</v>
      </c>
      <c r="E5" s="48" t="s">
        <v>5</v>
      </c>
      <c r="F5" s="46">
        <f>B5</f>
        <v>817894.72182391607</v>
      </c>
      <c r="G5" s="43"/>
    </row>
    <row r="6" spans="1:18" x14ac:dyDescent="0.75">
      <c r="A6" s="45" t="s">
        <v>7</v>
      </c>
      <c r="B6" s="46">
        <f>'Stone Lake ATV Trail'!F40</f>
        <v>699053.09516900009</v>
      </c>
      <c r="C6" s="47" t="s">
        <v>5</v>
      </c>
      <c r="D6" s="47" t="s">
        <v>5</v>
      </c>
      <c r="E6" s="48" t="s">
        <v>5</v>
      </c>
      <c r="F6" s="46">
        <f>B6</f>
        <v>699053.09516900009</v>
      </c>
      <c r="G6" s="43"/>
    </row>
    <row r="7" spans="1:18" x14ac:dyDescent="0.75">
      <c r="A7" s="45" t="s">
        <v>8</v>
      </c>
      <c r="B7" s="46">
        <f>'Hwy 8 Re-Grade'!H16</f>
        <v>1723214.8800000001</v>
      </c>
      <c r="C7" s="47"/>
      <c r="D7" s="46">
        <v>773157</v>
      </c>
      <c r="E7" s="51">
        <f>D7/F7</f>
        <v>0.30971226931141366</v>
      </c>
      <c r="F7" s="46">
        <f>B7+D7</f>
        <v>2496371.88</v>
      </c>
      <c r="G7" s="43"/>
    </row>
    <row r="8" spans="1:18" x14ac:dyDescent="0.75">
      <c r="A8" s="49" t="s">
        <v>3</v>
      </c>
      <c r="B8" s="50">
        <f>SUM(B4:B7)</f>
        <v>9531339.6964944731</v>
      </c>
      <c r="C8" s="50">
        <f>SUM(C4:C7)</f>
        <v>1760670</v>
      </c>
      <c r="D8" s="50">
        <f>SUM(D4:D7)</f>
        <v>773157</v>
      </c>
      <c r="E8" s="52">
        <f>SUM(C8:D8)/F8</f>
        <v>0.21001176889965409</v>
      </c>
      <c r="F8" s="50">
        <f>SUM(F4:F7)</f>
        <v>12065166.696494471</v>
      </c>
      <c r="G8" s="43"/>
    </row>
    <row r="9" spans="1:18" x14ac:dyDescent="0.75">
      <c r="A9" s="43"/>
      <c r="B9" s="43"/>
      <c r="C9" s="43"/>
      <c r="D9" s="43"/>
      <c r="E9" s="43"/>
      <c r="F9" s="43"/>
      <c r="G9" s="43"/>
    </row>
    <row r="10" spans="1:18" x14ac:dyDescent="0.75">
      <c r="A10" s="358" t="s">
        <v>9</v>
      </c>
      <c r="B10" s="358"/>
      <c r="C10" s="358"/>
      <c r="D10" s="358"/>
      <c r="E10" s="358"/>
      <c r="F10" s="358"/>
      <c r="G10" s="43"/>
      <c r="O10">
        <v>0.21866659911806485</v>
      </c>
      <c r="P10">
        <f>1-O10</f>
        <v>0.78133340088193515</v>
      </c>
      <c r="R10">
        <v>0.78133340088193504</v>
      </c>
    </row>
    <row r="11" spans="1:18" x14ac:dyDescent="0.75">
      <c r="A11" s="43"/>
      <c r="B11" s="43"/>
      <c r="C11" s="43"/>
      <c r="D11" s="43"/>
      <c r="E11" s="43"/>
      <c r="F11" s="43"/>
      <c r="G11" s="43"/>
    </row>
    <row r="12" spans="1:18" x14ac:dyDescent="0.75">
      <c r="A12" s="44" t="s">
        <v>1</v>
      </c>
      <c r="B12" s="44" t="s">
        <v>253</v>
      </c>
      <c r="C12" s="44" t="s">
        <v>254</v>
      </c>
      <c r="D12" s="44" t="s">
        <v>255</v>
      </c>
      <c r="E12" s="44" t="s">
        <v>2</v>
      </c>
      <c r="F12" s="44" t="s">
        <v>3</v>
      </c>
      <c r="G12" s="43"/>
    </row>
    <row r="13" spans="1:18" x14ac:dyDescent="0.75">
      <c r="A13" s="45" t="s">
        <v>4</v>
      </c>
      <c r="B13" s="46">
        <f>B4</f>
        <v>6291176.9995015562</v>
      </c>
      <c r="C13" s="47">
        <v>1760670</v>
      </c>
      <c r="D13" s="47" t="s">
        <v>5</v>
      </c>
      <c r="E13" s="326">
        <v>0.26747604496642097</v>
      </c>
      <c r="F13" s="46">
        <f>SUM(B13:C13)</f>
        <v>8051846.9995015562</v>
      </c>
    </row>
    <row r="14" spans="1:18" x14ac:dyDescent="0.75">
      <c r="A14" s="45" t="s">
        <v>6</v>
      </c>
      <c r="B14" s="46">
        <f>B5</f>
        <v>817894.72182391607</v>
      </c>
      <c r="C14" s="47" t="s">
        <v>5</v>
      </c>
      <c r="D14" s="47" t="s">
        <v>5</v>
      </c>
      <c r="E14" s="48" t="s">
        <v>5</v>
      </c>
      <c r="F14" s="46">
        <f t="shared" ref="F14:F17" si="0">SUM(B14:C14)</f>
        <v>817894.72182391607</v>
      </c>
    </row>
    <row r="15" spans="1:18" x14ac:dyDescent="0.75">
      <c r="A15" s="45" t="s">
        <v>7</v>
      </c>
      <c r="B15" s="46">
        <f>B6</f>
        <v>699053.09516900009</v>
      </c>
      <c r="C15" s="47" t="s">
        <v>5</v>
      </c>
      <c r="D15" s="47" t="s">
        <v>5</v>
      </c>
      <c r="E15" s="48" t="s">
        <v>5</v>
      </c>
      <c r="F15" s="46">
        <f t="shared" si="0"/>
        <v>699053.09516900009</v>
      </c>
    </row>
    <row r="16" spans="1:18" x14ac:dyDescent="0.75">
      <c r="A16" s="45" t="s">
        <v>8</v>
      </c>
      <c r="B16" s="46">
        <f>B7</f>
        <v>1723214.8800000001</v>
      </c>
      <c r="C16" s="46"/>
      <c r="D16" s="46">
        <v>773157</v>
      </c>
      <c r="E16" s="51">
        <f>C16/F16</f>
        <v>0</v>
      </c>
      <c r="F16" s="46">
        <f t="shared" si="0"/>
        <v>1723214.8800000001</v>
      </c>
    </row>
    <row r="17" spans="1:6" x14ac:dyDescent="0.75">
      <c r="A17" s="45" t="s">
        <v>10</v>
      </c>
      <c r="B17" s="47" t="s">
        <v>5</v>
      </c>
      <c r="C17" s="46">
        <v>799980.75</v>
      </c>
      <c r="D17" s="46"/>
      <c r="E17" s="51">
        <v>1</v>
      </c>
      <c r="F17" s="46">
        <f t="shared" si="0"/>
        <v>799980.75</v>
      </c>
    </row>
    <row r="18" spans="1:6" x14ac:dyDescent="0.75">
      <c r="A18" s="49" t="s">
        <v>3</v>
      </c>
      <c r="B18" s="50">
        <f>SUM(B13:B16)</f>
        <v>9531339.6964944731</v>
      </c>
      <c r="C18" s="50">
        <f>SUM(C13:C17)</f>
        <v>2560650.75</v>
      </c>
      <c r="D18" s="50">
        <f>SUM(D13:D17)</f>
        <v>773157</v>
      </c>
      <c r="E18" s="52">
        <f>SUM(C18:D18)/F18</f>
        <v>0.27570380283971258</v>
      </c>
      <c r="F18" s="50">
        <f>SUM(F13:F17)</f>
        <v>12091990.446494473</v>
      </c>
    </row>
    <row r="20" spans="1:6" x14ac:dyDescent="0.75">
      <c r="A20" s="55" t="s">
        <v>11</v>
      </c>
    </row>
  </sheetData>
  <mergeCells count="2">
    <mergeCell ref="A10:F10"/>
    <mergeCell ref="A1:F1"/>
  </mergeCells>
  <pageMargins left="0.7" right="0.7" top="0.75" bottom="0.75" header="0.3" footer="0.3"/>
  <pageSetup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workbookViewId="0">
      <selection activeCell="M12" sqref="M12"/>
    </sheetView>
  </sheetViews>
  <sheetFormatPr defaultRowHeight="14.75" x14ac:dyDescent="0.75"/>
  <cols>
    <col min="1" max="1" width="50.7265625" customWidth="1"/>
    <col min="2" max="2" width="5.7265625" customWidth="1"/>
    <col min="3" max="3" width="10.7265625" customWidth="1"/>
    <col min="4" max="4" width="10.7265625" style="2" customWidth="1"/>
    <col min="5" max="5" width="13.40625" style="1" hidden="1" customWidth="1"/>
    <col min="6" max="6" width="0" hidden="1" customWidth="1"/>
    <col min="7" max="8" width="12.54296875" bestFit="1" customWidth="1"/>
    <col min="9" max="10" width="14.26953125" bestFit="1" customWidth="1"/>
    <col min="11" max="11" width="15.86328125" bestFit="1" customWidth="1"/>
    <col min="13" max="13" width="11" bestFit="1" customWidth="1"/>
    <col min="14" max="14" width="9.7265625" bestFit="1" customWidth="1"/>
  </cols>
  <sheetData>
    <row r="1" spans="1:14" x14ac:dyDescent="0.75">
      <c r="A1" s="352" t="s">
        <v>1</v>
      </c>
      <c r="B1" s="353"/>
      <c r="C1" s="353"/>
      <c r="D1" s="354"/>
      <c r="E1" s="327" t="s">
        <v>3</v>
      </c>
      <c r="G1" s="328">
        <v>2023</v>
      </c>
      <c r="H1" s="328">
        <v>2024</v>
      </c>
      <c r="I1" s="328">
        <v>2025</v>
      </c>
      <c r="J1" s="328">
        <v>2026</v>
      </c>
      <c r="K1" s="329" t="s">
        <v>3</v>
      </c>
    </row>
    <row r="2" spans="1:14" x14ac:dyDescent="0.75">
      <c r="A2" s="355" t="s">
        <v>4</v>
      </c>
      <c r="B2" s="356"/>
      <c r="C2" s="356"/>
      <c r="D2" s="357"/>
      <c r="E2" s="330">
        <f>'[2]US 8 at Youngs Lane'!H16</f>
        <v>1072130.67</v>
      </c>
      <c r="G2" s="331">
        <f>'Pathway to Wellness'!K71/3</f>
        <v>450589.97807429638</v>
      </c>
      <c r="H2" s="331">
        <f>G2</f>
        <v>450589.97807429638</v>
      </c>
      <c r="I2" s="331">
        <f>'Pathway to Wellness'!L70+'Pathway to Wellness'!L72+G2</f>
        <v>4227151.6141742961</v>
      </c>
      <c r="J2" s="331">
        <f>'Pathway to Wellness'!M70+'Pathway to Wellness'!N70+'Pathway to Wellness'!M72+'Pathway to Wellness'!N72</f>
        <v>2923515.4291786668</v>
      </c>
      <c r="K2" s="332">
        <f>SUM(G2:J2)</f>
        <v>8051846.9995015562</v>
      </c>
    </row>
    <row r="3" spans="1:14" x14ac:dyDescent="0.75">
      <c r="A3" s="355" t="s">
        <v>6</v>
      </c>
      <c r="B3" s="356"/>
      <c r="C3" s="356"/>
      <c r="D3" s="357"/>
      <c r="E3" s="330">
        <f>'[2]US 8 Corridor Bike_Ped'!$K$71</f>
        <v>6672844.6011538673</v>
      </c>
      <c r="G3" s="331">
        <f>'Stone Lake Pathway'!F37/3</f>
        <v>45770.264238321339</v>
      </c>
      <c r="H3" s="331">
        <f>G3</f>
        <v>45770.264238321339</v>
      </c>
      <c r="I3" s="331">
        <f>G3</f>
        <v>45770.264238321339</v>
      </c>
      <c r="J3" s="331">
        <f>'Stone Lake Pathway'!F36+'Stone Lake Pathway'!F38</f>
        <v>680583.92910895206</v>
      </c>
      <c r="K3" s="332">
        <f t="shared" ref="K3:K5" si="0">SUM(G3:J3)</f>
        <v>817894.72182391607</v>
      </c>
    </row>
    <row r="4" spans="1:14" x14ac:dyDescent="0.75">
      <c r="A4" s="355" t="s">
        <v>7</v>
      </c>
      <c r="B4" s="356"/>
      <c r="C4" s="356"/>
      <c r="D4" s="357"/>
      <c r="E4" s="330">
        <f>[2]MKS_FK_Bike_Ped!F37</f>
        <v>672268.01221345994</v>
      </c>
      <c r="G4" s="331">
        <f>'Stone Lake ATV Trail'!F38/3</f>
        <v>39119.759583666673</v>
      </c>
      <c r="H4" s="331">
        <f>G4</f>
        <v>39119.759583666673</v>
      </c>
      <c r="I4" s="331">
        <f>G4</f>
        <v>39119.759583666673</v>
      </c>
      <c r="J4" s="331">
        <f>'Stone Lake ATV Trail'!F37+'Stone Lake ATV Trail'!F39</f>
        <v>581693.81641800003</v>
      </c>
      <c r="K4" s="332">
        <f t="shared" si="0"/>
        <v>699053.09516900009</v>
      </c>
    </row>
    <row r="5" spans="1:14" x14ac:dyDescent="0.75">
      <c r="A5" s="355" t="s">
        <v>8</v>
      </c>
      <c r="B5" s="356"/>
      <c r="C5" s="356"/>
      <c r="D5" s="357"/>
      <c r="E5" s="330">
        <f>'[2]ATV Trail'!F40</f>
        <v>699053.09516900009</v>
      </c>
      <c r="G5" s="331">
        <f>'Hwy 8 Re-Grade'!H23/2</f>
        <v>120345</v>
      </c>
      <c r="H5" s="331">
        <f>G5+'Hwy 8 Re-Grade'!H28</f>
        <v>205845</v>
      </c>
      <c r="I5" s="331">
        <f>'Hwy 8 Re-Grade'!H16+'Hwy 8 Re-Grade'!H24+'Hwy 8 Re-Grade'!H22</f>
        <v>2170181.88</v>
      </c>
      <c r="J5" s="331">
        <v>0</v>
      </c>
      <c r="K5" s="332">
        <f t="shared" si="0"/>
        <v>2496371.88</v>
      </c>
    </row>
    <row r="6" spans="1:14" x14ac:dyDescent="0.75">
      <c r="A6" s="352"/>
      <c r="B6" s="353"/>
      <c r="C6" s="353"/>
      <c r="D6" s="354"/>
      <c r="E6" s="330"/>
      <c r="G6" s="331"/>
      <c r="H6" s="331"/>
      <c r="I6" s="331"/>
      <c r="J6" s="331"/>
      <c r="K6" s="333"/>
    </row>
    <row r="7" spans="1:14" x14ac:dyDescent="0.75">
      <c r="A7" s="334" t="s">
        <v>211</v>
      </c>
      <c r="E7" s="335">
        <f>SUM(E2:E6)</f>
        <v>9116296.3785363268</v>
      </c>
      <c r="G7" s="331">
        <f>SUM(G2:G6)</f>
        <v>655825.0018962844</v>
      </c>
      <c r="H7" s="331">
        <f t="shared" ref="H7:J7" si="1">SUM(H2:H6)</f>
        <v>741325.0018962844</v>
      </c>
      <c r="I7" s="331">
        <f t="shared" si="1"/>
        <v>6482223.5179962842</v>
      </c>
      <c r="J7" s="331">
        <f t="shared" si="1"/>
        <v>4185793.174705619</v>
      </c>
      <c r="K7" s="336">
        <f>SUM(G7:J7)</f>
        <v>12065166.696494471</v>
      </c>
      <c r="N7" s="351"/>
    </row>
    <row r="8" spans="1:14" x14ac:dyDescent="0.75">
      <c r="E8" s="337"/>
    </row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2"/>
  <sheetViews>
    <sheetView topLeftCell="A28" zoomScale="93" zoomScaleNormal="93" workbookViewId="0">
      <selection activeCell="F76" sqref="F76"/>
    </sheetView>
  </sheetViews>
  <sheetFormatPr defaultRowHeight="14.75" x14ac:dyDescent="0.75"/>
  <cols>
    <col min="1" max="1" width="2.7265625" customWidth="1"/>
    <col min="2" max="2" width="17.26953125" customWidth="1"/>
    <col min="3" max="3" width="36.26953125" style="20" customWidth="1"/>
    <col min="4" max="4" width="10.54296875" style="21" customWidth="1"/>
    <col min="5" max="5" width="14.54296875" style="22" customWidth="1"/>
    <col min="6" max="6" width="15.54296875" style="23" customWidth="1"/>
    <col min="7" max="7" width="11.1328125" style="24" customWidth="1"/>
    <col min="8" max="8" width="22.26953125" style="24" customWidth="1"/>
    <col min="9" max="9" width="15.54296875" style="24" customWidth="1"/>
    <col min="10" max="10" width="19.40625" style="25" hidden="1" customWidth="1"/>
    <col min="11" max="11" width="15.7265625" style="26" bestFit="1" customWidth="1"/>
    <col min="12" max="14" width="14.40625" style="21" customWidth="1"/>
    <col min="15" max="16" width="17.26953125" style="27" hidden="1" customWidth="1"/>
    <col min="17" max="17" width="69.7265625" bestFit="1" customWidth="1"/>
    <col min="18" max="18" width="17.86328125" customWidth="1"/>
    <col min="19" max="19" width="119.54296875" customWidth="1"/>
  </cols>
  <sheetData>
    <row r="1" spans="1:19" s="4" customFormat="1" ht="12.75" customHeight="1" thickBot="1" x14ac:dyDescent="0.9">
      <c r="B1" s="5"/>
      <c r="C1" s="6"/>
      <c r="D1" s="7"/>
      <c r="E1" s="8"/>
      <c r="F1" s="9"/>
      <c r="G1" s="10"/>
      <c r="H1" s="10"/>
      <c r="I1" s="10"/>
      <c r="J1" s="11"/>
      <c r="K1" s="12"/>
      <c r="L1" s="7"/>
      <c r="M1" s="7"/>
      <c r="N1" s="7"/>
      <c r="O1" s="13"/>
      <c r="P1" s="13"/>
      <c r="Q1" s="5"/>
    </row>
    <row r="2" spans="1:19" s="4" customFormat="1" ht="15.75" x14ac:dyDescent="0.75">
      <c r="A2" s="14"/>
      <c r="B2" s="361" t="s">
        <v>12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3"/>
    </row>
    <row r="3" spans="1:19" s="4" customFormat="1" ht="15.75" x14ac:dyDescent="0.75">
      <c r="A3" s="15"/>
      <c r="B3" s="364" t="s">
        <v>13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6"/>
    </row>
    <row r="4" spans="1:19" s="4" customFormat="1" ht="15.75" x14ac:dyDescent="0.75">
      <c r="A4" s="15"/>
      <c r="B4" s="364" t="s">
        <v>14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6"/>
    </row>
    <row r="5" spans="1:19" s="4" customFormat="1" x14ac:dyDescent="0.75">
      <c r="A5" s="15"/>
      <c r="B5" s="367" t="s">
        <v>15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9"/>
      <c r="R5" s="56"/>
      <c r="S5" s="56"/>
    </row>
    <row r="6" spans="1:19" s="4" customFormat="1" x14ac:dyDescent="0.75">
      <c r="A6" s="15"/>
      <c r="B6" s="370">
        <v>44665</v>
      </c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2"/>
      <c r="R6" s="56"/>
      <c r="S6" s="56"/>
    </row>
    <row r="7" spans="1:19" s="4" customFormat="1" x14ac:dyDescent="0.75">
      <c r="A7" s="15"/>
      <c r="B7" s="220"/>
      <c r="C7" s="221"/>
      <c r="D7" s="222"/>
      <c r="E7" s="223"/>
      <c r="F7" s="224"/>
      <c r="G7" s="225"/>
      <c r="H7" s="225"/>
      <c r="I7" s="225"/>
      <c r="J7" s="226"/>
      <c r="K7" s="222"/>
      <c r="L7" s="222"/>
      <c r="M7" s="222"/>
      <c r="N7" s="222"/>
      <c r="O7" s="227"/>
      <c r="P7" s="227"/>
      <c r="Q7" s="228"/>
      <c r="R7" s="56"/>
      <c r="S7" s="56"/>
    </row>
    <row r="8" spans="1:19" s="4" customFormat="1" ht="15.5" thickBot="1" x14ac:dyDescent="0.9">
      <c r="A8" s="15"/>
      <c r="B8" s="57"/>
      <c r="C8" s="58"/>
      <c r="D8" s="59"/>
      <c r="E8" s="60"/>
      <c r="F8" s="61"/>
      <c r="G8" s="62"/>
      <c r="H8" s="62"/>
      <c r="I8" s="62"/>
      <c r="J8" s="63"/>
      <c r="K8" s="219"/>
      <c r="L8" s="59"/>
      <c r="M8" s="59"/>
      <c r="N8" s="59"/>
      <c r="O8" s="64"/>
      <c r="P8" s="64"/>
      <c r="Q8" s="65"/>
      <c r="R8" s="56"/>
      <c r="S8" s="56"/>
    </row>
    <row r="9" spans="1:19" s="4" customFormat="1" ht="15.5" thickBot="1" x14ac:dyDescent="0.9">
      <c r="B9" s="66" t="s">
        <v>16</v>
      </c>
      <c r="C9" s="67" t="s">
        <v>17</v>
      </c>
      <c r="D9" s="68" t="s">
        <v>18</v>
      </c>
      <c r="E9" s="69" t="s">
        <v>19</v>
      </c>
      <c r="F9" s="70" t="s">
        <v>20</v>
      </c>
      <c r="G9" s="71"/>
      <c r="H9" s="71"/>
      <c r="I9" s="72"/>
      <c r="J9" s="73"/>
      <c r="K9" s="74" t="s">
        <v>21</v>
      </c>
      <c r="L9" s="74"/>
      <c r="M9" s="74"/>
      <c r="N9" s="75"/>
      <c r="O9" s="76"/>
      <c r="P9" s="77"/>
      <c r="Q9" s="78" t="s">
        <v>22</v>
      </c>
      <c r="R9" s="56"/>
      <c r="S9" s="79"/>
    </row>
    <row r="10" spans="1:19" s="4" customFormat="1" ht="15.5" thickBot="1" x14ac:dyDescent="0.9">
      <c r="B10" s="80" t="s">
        <v>23</v>
      </c>
      <c r="C10" s="81"/>
      <c r="D10" s="82"/>
      <c r="E10" s="83"/>
      <c r="F10" s="84"/>
      <c r="G10" s="85" t="s">
        <v>24</v>
      </c>
      <c r="H10" s="85" t="s">
        <v>25</v>
      </c>
      <c r="I10" s="86" t="s">
        <v>26</v>
      </c>
      <c r="J10" s="87" t="s">
        <v>27</v>
      </c>
      <c r="K10" s="88"/>
      <c r="L10" s="88" t="s">
        <v>28</v>
      </c>
      <c r="M10" s="88" t="s">
        <v>29</v>
      </c>
      <c r="N10" s="89" t="s">
        <v>30</v>
      </c>
      <c r="O10" s="76" t="s">
        <v>31</v>
      </c>
      <c r="P10" s="77" t="s">
        <v>32</v>
      </c>
      <c r="Q10" s="78"/>
      <c r="R10" s="56"/>
      <c r="S10" s="79"/>
    </row>
    <row r="11" spans="1:19" s="4" customFormat="1" x14ac:dyDescent="0.75">
      <c r="B11" s="90">
        <v>201.01050000000001</v>
      </c>
      <c r="C11" s="91" t="s">
        <v>33</v>
      </c>
      <c r="D11" s="92" t="s">
        <v>34</v>
      </c>
      <c r="E11" s="93">
        <v>350</v>
      </c>
      <c r="F11" s="94">
        <f>SUM(G11+H11+I11)</f>
        <v>210</v>
      </c>
      <c r="G11" s="95">
        <v>125</v>
      </c>
      <c r="H11" s="95">
        <v>70</v>
      </c>
      <c r="I11" s="96">
        <v>15</v>
      </c>
      <c r="J11" s="97">
        <f>G11+H11+I11</f>
        <v>210</v>
      </c>
      <c r="K11" s="98">
        <f t="shared" ref="K11:K63" si="0">F11*E11</f>
        <v>73500</v>
      </c>
      <c r="L11" s="99">
        <f t="shared" ref="L11:L40" si="1">G11*E11</f>
        <v>43750</v>
      </c>
      <c r="M11" s="99">
        <f t="shared" ref="M11:M40" si="2">H11*E11</f>
        <v>24500</v>
      </c>
      <c r="N11" s="100">
        <f t="shared" ref="N11:N40" si="3">I11*E11</f>
        <v>5250</v>
      </c>
      <c r="O11" s="101">
        <f>L11+M11+N11</f>
        <v>73500</v>
      </c>
      <c r="P11" s="102"/>
      <c r="Q11" s="103"/>
      <c r="R11" s="56"/>
      <c r="S11" s="79"/>
    </row>
    <row r="12" spans="1:19" s="4" customFormat="1" x14ac:dyDescent="0.75">
      <c r="B12" s="104">
        <v>201.0205</v>
      </c>
      <c r="C12" s="105" t="s">
        <v>35</v>
      </c>
      <c r="D12" s="106" t="s">
        <v>34</v>
      </c>
      <c r="E12" s="107">
        <v>350</v>
      </c>
      <c r="F12" s="108">
        <f>SUM(G12+H12+I12)</f>
        <v>210</v>
      </c>
      <c r="G12" s="109">
        <v>125</v>
      </c>
      <c r="H12" s="109">
        <v>70</v>
      </c>
      <c r="I12" s="110">
        <v>15</v>
      </c>
      <c r="J12" s="111">
        <f t="shared" ref="J12:J63" si="4">G12+H12+I12</f>
        <v>210</v>
      </c>
      <c r="K12" s="112">
        <f t="shared" si="0"/>
        <v>73500</v>
      </c>
      <c r="L12" s="113">
        <f t="shared" si="1"/>
        <v>43750</v>
      </c>
      <c r="M12" s="113">
        <f t="shared" si="2"/>
        <v>24500</v>
      </c>
      <c r="N12" s="114">
        <f t="shared" si="3"/>
        <v>5250</v>
      </c>
      <c r="O12" s="101">
        <f t="shared" ref="O12:O63" si="5">L12+M12+N12</f>
        <v>73500</v>
      </c>
      <c r="P12" s="102"/>
      <c r="Q12" s="103"/>
      <c r="R12" s="56"/>
      <c r="S12" s="79"/>
    </row>
    <row r="13" spans="1:19" s="4" customFormat="1" hidden="1" x14ac:dyDescent="0.75">
      <c r="B13" s="104">
        <v>204.011</v>
      </c>
      <c r="C13" s="105" t="s">
        <v>36</v>
      </c>
      <c r="D13" s="106" t="s">
        <v>37</v>
      </c>
      <c r="E13" s="107">
        <v>11</v>
      </c>
      <c r="F13" s="108">
        <f t="shared" ref="F13:F46" si="6">SUM(G13+H13+I13)</f>
        <v>0</v>
      </c>
      <c r="G13" s="109"/>
      <c r="H13" s="109"/>
      <c r="I13" s="110"/>
      <c r="J13" s="111">
        <f t="shared" si="4"/>
        <v>0</v>
      </c>
      <c r="K13" s="112">
        <f t="shared" si="0"/>
        <v>0</v>
      </c>
      <c r="L13" s="113">
        <f t="shared" si="1"/>
        <v>0</v>
      </c>
      <c r="M13" s="113">
        <f t="shared" si="2"/>
        <v>0</v>
      </c>
      <c r="N13" s="114">
        <f t="shared" si="3"/>
        <v>0</v>
      </c>
      <c r="O13" s="101">
        <f t="shared" si="5"/>
        <v>0</v>
      </c>
      <c r="P13" s="102"/>
      <c r="Q13" s="103"/>
      <c r="R13" s="56"/>
      <c r="S13" s="79"/>
    </row>
    <row r="14" spans="1:19" s="4" customFormat="1" hidden="1" x14ac:dyDescent="0.75">
      <c r="B14" s="104">
        <v>204.01499999999999</v>
      </c>
      <c r="C14" s="105" t="s">
        <v>38</v>
      </c>
      <c r="D14" s="106" t="s">
        <v>39</v>
      </c>
      <c r="E14" s="107">
        <v>9</v>
      </c>
      <c r="F14" s="108">
        <f t="shared" si="6"/>
        <v>0</v>
      </c>
      <c r="G14" s="109"/>
      <c r="H14" s="109"/>
      <c r="I14" s="110"/>
      <c r="J14" s="111">
        <f t="shared" si="4"/>
        <v>0</v>
      </c>
      <c r="K14" s="112">
        <f t="shared" si="0"/>
        <v>0</v>
      </c>
      <c r="L14" s="113">
        <f t="shared" si="1"/>
        <v>0</v>
      </c>
      <c r="M14" s="113">
        <f t="shared" si="2"/>
        <v>0</v>
      </c>
      <c r="N14" s="114">
        <f t="shared" si="3"/>
        <v>0</v>
      </c>
      <c r="O14" s="101">
        <f t="shared" si="5"/>
        <v>0</v>
      </c>
      <c r="P14" s="102"/>
      <c r="Q14" s="103"/>
      <c r="R14" s="56"/>
      <c r="S14" s="79"/>
    </row>
    <row r="15" spans="1:19" s="4" customFormat="1" hidden="1" x14ac:dyDescent="0.75">
      <c r="B15" s="104">
        <v>204.0155</v>
      </c>
      <c r="C15" s="105" t="s">
        <v>40</v>
      </c>
      <c r="D15" s="106" t="s">
        <v>37</v>
      </c>
      <c r="E15" s="107">
        <v>10</v>
      </c>
      <c r="F15" s="108">
        <f t="shared" si="6"/>
        <v>0</v>
      </c>
      <c r="G15" s="109"/>
      <c r="H15" s="109"/>
      <c r="I15" s="110"/>
      <c r="J15" s="111">
        <f t="shared" si="4"/>
        <v>0</v>
      </c>
      <c r="K15" s="112">
        <f t="shared" si="0"/>
        <v>0</v>
      </c>
      <c r="L15" s="113">
        <f t="shared" si="1"/>
        <v>0</v>
      </c>
      <c r="M15" s="113">
        <f t="shared" si="2"/>
        <v>0</v>
      </c>
      <c r="N15" s="114">
        <f t="shared" si="3"/>
        <v>0</v>
      </c>
      <c r="O15" s="101">
        <f t="shared" si="5"/>
        <v>0</v>
      </c>
      <c r="P15" s="102"/>
      <c r="Q15" s="103"/>
      <c r="R15" s="56"/>
      <c r="S15" s="79"/>
    </row>
    <row r="16" spans="1:19" s="4" customFormat="1" x14ac:dyDescent="0.75">
      <c r="B16" s="104">
        <v>205.01</v>
      </c>
      <c r="C16" s="105" t="s">
        <v>41</v>
      </c>
      <c r="D16" s="106" t="s">
        <v>42</v>
      </c>
      <c r="E16" s="107">
        <v>12</v>
      </c>
      <c r="F16" s="108">
        <f t="shared" si="6"/>
        <v>45797</v>
      </c>
      <c r="G16" s="115">
        <v>25825</v>
      </c>
      <c r="H16" s="115">
        <v>11581</v>
      </c>
      <c r="I16" s="116">
        <v>8391</v>
      </c>
      <c r="J16" s="111">
        <f t="shared" si="4"/>
        <v>45797</v>
      </c>
      <c r="K16" s="112">
        <f t="shared" si="0"/>
        <v>549564</v>
      </c>
      <c r="L16" s="113">
        <f t="shared" si="1"/>
        <v>309900</v>
      </c>
      <c r="M16" s="113">
        <f t="shared" si="2"/>
        <v>138972</v>
      </c>
      <c r="N16" s="114">
        <f t="shared" si="3"/>
        <v>100692</v>
      </c>
      <c r="O16" s="101">
        <f t="shared" si="5"/>
        <v>549564</v>
      </c>
      <c r="P16" s="102"/>
      <c r="Q16" s="117"/>
      <c r="R16" s="56"/>
      <c r="S16" s="79"/>
    </row>
    <row r="17" spans="2:19" s="4" customFormat="1" x14ac:dyDescent="0.75">
      <c r="B17" s="104">
        <v>305.012</v>
      </c>
      <c r="C17" s="105" t="s">
        <v>43</v>
      </c>
      <c r="D17" s="106" t="s">
        <v>44</v>
      </c>
      <c r="E17" s="107">
        <v>16</v>
      </c>
      <c r="F17" s="108">
        <f t="shared" si="6"/>
        <v>17000</v>
      </c>
      <c r="G17" s="109">
        <v>7060</v>
      </c>
      <c r="H17" s="109">
        <v>3650</v>
      </c>
      <c r="I17" s="110">
        <v>6290</v>
      </c>
      <c r="J17" s="111">
        <f t="shared" si="4"/>
        <v>17000</v>
      </c>
      <c r="K17" s="112">
        <f t="shared" si="0"/>
        <v>272000</v>
      </c>
      <c r="L17" s="113">
        <f t="shared" si="1"/>
        <v>112960</v>
      </c>
      <c r="M17" s="113">
        <f t="shared" si="2"/>
        <v>58400</v>
      </c>
      <c r="N17" s="114">
        <f t="shared" si="3"/>
        <v>100640</v>
      </c>
      <c r="O17" s="101">
        <f t="shared" si="5"/>
        <v>272000</v>
      </c>
      <c r="P17" s="102"/>
      <c r="Q17" s="103" t="s">
        <v>45</v>
      </c>
      <c r="R17" s="56"/>
      <c r="S17" s="79"/>
    </row>
    <row r="18" spans="2:19" s="4" customFormat="1" x14ac:dyDescent="0.75">
      <c r="B18" s="104">
        <v>465.01049999999998</v>
      </c>
      <c r="C18" s="105" t="s">
        <v>46</v>
      </c>
      <c r="D18" s="106" t="s">
        <v>44</v>
      </c>
      <c r="E18" s="107">
        <v>100</v>
      </c>
      <c r="F18" s="108">
        <f t="shared" si="6"/>
        <v>7110</v>
      </c>
      <c r="G18" s="109">
        <v>2950</v>
      </c>
      <c r="H18" s="109">
        <v>1530</v>
      </c>
      <c r="I18" s="110">
        <v>2630</v>
      </c>
      <c r="J18" s="111">
        <f t="shared" si="4"/>
        <v>7110</v>
      </c>
      <c r="K18" s="112">
        <f t="shared" si="0"/>
        <v>711000</v>
      </c>
      <c r="L18" s="113">
        <f t="shared" si="1"/>
        <v>295000</v>
      </c>
      <c r="M18" s="113">
        <f t="shared" si="2"/>
        <v>153000</v>
      </c>
      <c r="N18" s="114">
        <f t="shared" si="3"/>
        <v>263000</v>
      </c>
      <c r="O18" s="101">
        <f t="shared" si="5"/>
        <v>711000</v>
      </c>
      <c r="P18" s="102"/>
      <c r="Q18" s="103"/>
      <c r="R18" s="56"/>
      <c r="S18" s="79"/>
    </row>
    <row r="19" spans="2:19" s="4" customFormat="1" ht="29.25" hidden="1" x14ac:dyDescent="0.75">
      <c r="B19" s="104">
        <v>522.10180000000003</v>
      </c>
      <c r="C19" s="105" t="s">
        <v>47</v>
      </c>
      <c r="D19" s="106" t="s">
        <v>48</v>
      </c>
      <c r="E19" s="107">
        <v>1000</v>
      </c>
      <c r="F19" s="108">
        <f t="shared" si="6"/>
        <v>0</v>
      </c>
      <c r="G19" s="109"/>
      <c r="H19" s="109"/>
      <c r="I19" s="110"/>
      <c r="J19" s="111">
        <f t="shared" si="4"/>
        <v>0</v>
      </c>
      <c r="K19" s="112">
        <f t="shared" si="0"/>
        <v>0</v>
      </c>
      <c r="L19" s="113">
        <f t="shared" si="1"/>
        <v>0</v>
      </c>
      <c r="M19" s="113">
        <f t="shared" si="2"/>
        <v>0</v>
      </c>
      <c r="N19" s="114">
        <f t="shared" si="3"/>
        <v>0</v>
      </c>
      <c r="O19" s="101">
        <f t="shared" si="5"/>
        <v>0</v>
      </c>
      <c r="P19" s="102"/>
      <c r="Q19" s="103"/>
      <c r="R19" s="56"/>
      <c r="S19" s="79"/>
    </row>
    <row r="20" spans="2:19" s="4" customFormat="1" hidden="1" x14ac:dyDescent="0.75">
      <c r="B20" s="104">
        <v>601.04110000000003</v>
      </c>
      <c r="C20" s="105" t="s">
        <v>49</v>
      </c>
      <c r="D20" s="106" t="s">
        <v>39</v>
      </c>
      <c r="E20" s="107">
        <v>40</v>
      </c>
      <c r="F20" s="108">
        <f t="shared" si="6"/>
        <v>0</v>
      </c>
      <c r="G20" s="109"/>
      <c r="H20" s="109"/>
      <c r="I20" s="110"/>
      <c r="J20" s="111">
        <f t="shared" si="4"/>
        <v>0</v>
      </c>
      <c r="K20" s="112">
        <f t="shared" si="0"/>
        <v>0</v>
      </c>
      <c r="L20" s="113">
        <f t="shared" si="1"/>
        <v>0</v>
      </c>
      <c r="M20" s="113">
        <f t="shared" si="2"/>
        <v>0</v>
      </c>
      <c r="N20" s="114">
        <f t="shared" si="3"/>
        <v>0</v>
      </c>
      <c r="O20" s="101">
        <f t="shared" si="5"/>
        <v>0</v>
      </c>
      <c r="P20" s="102"/>
      <c r="Q20" s="103"/>
      <c r="R20" s="56"/>
      <c r="S20" s="79"/>
    </row>
    <row r="21" spans="2:19" s="4" customFormat="1" ht="29.25" x14ac:dyDescent="0.75">
      <c r="B21" s="104">
        <v>602.04100000000005</v>
      </c>
      <c r="C21" s="105" t="s">
        <v>50</v>
      </c>
      <c r="D21" s="106" t="s">
        <v>51</v>
      </c>
      <c r="E21" s="107">
        <v>20</v>
      </c>
      <c r="F21" s="108">
        <f t="shared" si="6"/>
        <v>2200</v>
      </c>
      <c r="G21" s="109">
        <v>1300</v>
      </c>
      <c r="H21" s="109">
        <v>200</v>
      </c>
      <c r="I21" s="110">
        <v>700</v>
      </c>
      <c r="J21" s="111">
        <f t="shared" si="4"/>
        <v>2200</v>
      </c>
      <c r="K21" s="112">
        <f t="shared" si="0"/>
        <v>44000</v>
      </c>
      <c r="L21" s="113">
        <f t="shared" si="1"/>
        <v>26000</v>
      </c>
      <c r="M21" s="113">
        <f t="shared" si="2"/>
        <v>4000</v>
      </c>
      <c r="N21" s="114">
        <f t="shared" si="3"/>
        <v>14000</v>
      </c>
      <c r="O21" s="101">
        <f t="shared" si="5"/>
        <v>44000</v>
      </c>
      <c r="P21" s="102"/>
      <c r="Q21" s="103"/>
      <c r="R21" s="56"/>
      <c r="S21" s="79"/>
    </row>
    <row r="22" spans="2:19" s="4" customFormat="1" ht="29.25" x14ac:dyDescent="0.75">
      <c r="B22" s="104">
        <v>602.05150000000003</v>
      </c>
      <c r="C22" s="105" t="s">
        <v>52</v>
      </c>
      <c r="D22" s="106" t="s">
        <v>53</v>
      </c>
      <c r="E22" s="107">
        <v>40</v>
      </c>
      <c r="F22" s="108">
        <f t="shared" si="6"/>
        <v>440</v>
      </c>
      <c r="G22" s="109">
        <v>260</v>
      </c>
      <c r="H22" s="109">
        <v>40</v>
      </c>
      <c r="I22" s="110">
        <v>140</v>
      </c>
      <c r="J22" s="111">
        <f t="shared" si="4"/>
        <v>440</v>
      </c>
      <c r="K22" s="112">
        <f t="shared" si="0"/>
        <v>17600</v>
      </c>
      <c r="L22" s="113">
        <f t="shared" si="1"/>
        <v>10400</v>
      </c>
      <c r="M22" s="113">
        <f t="shared" si="2"/>
        <v>1600</v>
      </c>
      <c r="N22" s="114">
        <f t="shared" si="3"/>
        <v>5600</v>
      </c>
      <c r="O22" s="101">
        <f t="shared" si="5"/>
        <v>17600</v>
      </c>
      <c r="P22" s="102"/>
      <c r="Q22" s="103"/>
      <c r="R22" s="56"/>
      <c r="S22" s="79"/>
    </row>
    <row r="23" spans="2:19" s="4" customFormat="1" hidden="1" x14ac:dyDescent="0.75">
      <c r="B23" s="104">
        <v>606.02</v>
      </c>
      <c r="C23" s="105" t="s">
        <v>54</v>
      </c>
      <c r="D23" s="106" t="s">
        <v>42</v>
      </c>
      <c r="E23" s="107">
        <v>125</v>
      </c>
      <c r="F23" s="108">
        <f t="shared" si="6"/>
        <v>0</v>
      </c>
      <c r="G23" s="109"/>
      <c r="H23" s="109"/>
      <c r="I23" s="110"/>
      <c r="J23" s="111">
        <f t="shared" si="4"/>
        <v>0</v>
      </c>
      <c r="K23" s="112">
        <f t="shared" si="0"/>
        <v>0</v>
      </c>
      <c r="L23" s="113">
        <f t="shared" si="1"/>
        <v>0</v>
      </c>
      <c r="M23" s="113">
        <f t="shared" si="2"/>
        <v>0</v>
      </c>
      <c r="N23" s="114">
        <f t="shared" si="3"/>
        <v>0</v>
      </c>
      <c r="O23" s="101">
        <f t="shared" si="5"/>
        <v>0</v>
      </c>
      <c r="P23" s="102"/>
      <c r="Q23" s="103"/>
      <c r="R23" s="56"/>
      <c r="S23" s="79"/>
    </row>
    <row r="24" spans="2:19" s="4" customFormat="1" ht="29.25" hidden="1" x14ac:dyDescent="0.75">
      <c r="B24" s="104">
        <v>608.03179999999998</v>
      </c>
      <c r="C24" s="105" t="s">
        <v>55</v>
      </c>
      <c r="D24" s="106" t="s">
        <v>39</v>
      </c>
      <c r="E24" s="107">
        <v>80</v>
      </c>
      <c r="F24" s="108">
        <f t="shared" si="6"/>
        <v>0</v>
      </c>
      <c r="G24" s="109"/>
      <c r="H24" s="109"/>
      <c r="I24" s="110"/>
      <c r="J24" s="111">
        <f t="shared" si="4"/>
        <v>0</v>
      </c>
      <c r="K24" s="112">
        <f t="shared" si="0"/>
        <v>0</v>
      </c>
      <c r="L24" s="113">
        <f t="shared" si="1"/>
        <v>0</v>
      </c>
      <c r="M24" s="113">
        <f t="shared" si="2"/>
        <v>0</v>
      </c>
      <c r="N24" s="114">
        <f t="shared" si="3"/>
        <v>0</v>
      </c>
      <c r="O24" s="101">
        <f t="shared" si="5"/>
        <v>0</v>
      </c>
      <c r="P24" s="102"/>
      <c r="Q24" s="103"/>
      <c r="R24" s="56"/>
      <c r="S24" s="79"/>
    </row>
    <row r="25" spans="2:19" s="4" customFormat="1" hidden="1" x14ac:dyDescent="0.75">
      <c r="B25" s="104">
        <v>611.06240000000003</v>
      </c>
      <c r="C25" s="105" t="s">
        <v>56</v>
      </c>
      <c r="D25" s="106" t="s">
        <v>48</v>
      </c>
      <c r="E25" s="107">
        <v>900</v>
      </c>
      <c r="F25" s="108">
        <f t="shared" si="6"/>
        <v>0</v>
      </c>
      <c r="G25" s="109"/>
      <c r="H25" s="109"/>
      <c r="I25" s="110"/>
      <c r="J25" s="111">
        <f t="shared" si="4"/>
        <v>0</v>
      </c>
      <c r="K25" s="112">
        <f t="shared" si="0"/>
        <v>0</v>
      </c>
      <c r="L25" s="113">
        <f t="shared" si="1"/>
        <v>0</v>
      </c>
      <c r="M25" s="113">
        <f t="shared" si="2"/>
        <v>0</v>
      </c>
      <c r="N25" s="114">
        <f t="shared" si="3"/>
        <v>0</v>
      </c>
      <c r="O25" s="101">
        <f t="shared" si="5"/>
        <v>0</v>
      </c>
      <c r="P25" s="102"/>
      <c r="Q25" s="103"/>
      <c r="R25" s="56"/>
      <c r="S25" s="79"/>
    </row>
    <row r="26" spans="2:19" s="4" customFormat="1" hidden="1" x14ac:dyDescent="0.75">
      <c r="B26" s="104">
        <v>611.30039999999997</v>
      </c>
      <c r="C26" s="105" t="s">
        <v>57</v>
      </c>
      <c r="D26" s="106" t="s">
        <v>48</v>
      </c>
      <c r="E26" s="107">
        <v>2800</v>
      </c>
      <c r="F26" s="108">
        <f t="shared" si="6"/>
        <v>0</v>
      </c>
      <c r="G26" s="109"/>
      <c r="H26" s="109"/>
      <c r="I26" s="110"/>
      <c r="J26" s="111">
        <f t="shared" si="4"/>
        <v>0</v>
      </c>
      <c r="K26" s="112">
        <f t="shared" si="0"/>
        <v>0</v>
      </c>
      <c r="L26" s="113">
        <f t="shared" si="1"/>
        <v>0</v>
      </c>
      <c r="M26" s="113">
        <f t="shared" si="2"/>
        <v>0</v>
      </c>
      <c r="N26" s="114">
        <f t="shared" si="3"/>
        <v>0</v>
      </c>
      <c r="O26" s="101">
        <f t="shared" si="5"/>
        <v>0</v>
      </c>
      <c r="P26" s="102"/>
      <c r="Q26" s="103"/>
      <c r="R26" s="56"/>
      <c r="S26" s="79"/>
    </row>
    <row r="27" spans="2:19" s="4" customFormat="1" x14ac:dyDescent="0.75">
      <c r="B27" s="104">
        <v>616.02059999999994</v>
      </c>
      <c r="C27" s="105" t="s">
        <v>58</v>
      </c>
      <c r="D27" s="106" t="s">
        <v>39</v>
      </c>
      <c r="E27" s="107">
        <v>18</v>
      </c>
      <c r="F27" s="108">
        <f t="shared" si="6"/>
        <v>4700</v>
      </c>
      <c r="G27" s="109">
        <v>4700</v>
      </c>
      <c r="H27" s="109"/>
      <c r="I27" s="110"/>
      <c r="J27" s="111"/>
      <c r="K27" s="112">
        <f t="shared" si="0"/>
        <v>84600</v>
      </c>
      <c r="L27" s="113">
        <f t="shared" si="1"/>
        <v>84600</v>
      </c>
      <c r="M27" s="113">
        <f t="shared" si="2"/>
        <v>0</v>
      </c>
      <c r="N27" s="114">
        <f t="shared" si="3"/>
        <v>0</v>
      </c>
      <c r="O27" s="101"/>
      <c r="P27" s="102"/>
      <c r="Q27" s="103"/>
      <c r="R27" s="56"/>
      <c r="S27" s="79"/>
    </row>
    <row r="28" spans="2:19" s="4" customFormat="1" x14ac:dyDescent="0.75">
      <c r="B28" s="118">
        <v>625.04999999999995</v>
      </c>
      <c r="C28" s="119" t="s">
        <v>59</v>
      </c>
      <c r="D28" s="120" t="s">
        <v>37</v>
      </c>
      <c r="E28" s="121">
        <v>3</v>
      </c>
      <c r="F28" s="108">
        <f t="shared" si="6"/>
        <v>68293.444444444438</v>
      </c>
      <c r="G28" s="122">
        <v>30617</v>
      </c>
      <c r="H28" s="122">
        <v>17865.555555555555</v>
      </c>
      <c r="I28" s="123">
        <v>19810.888888888891</v>
      </c>
      <c r="J28" s="111">
        <f t="shared" si="4"/>
        <v>68293.444444444438</v>
      </c>
      <c r="K28" s="112">
        <f t="shared" si="0"/>
        <v>204880.33333333331</v>
      </c>
      <c r="L28" s="113">
        <f t="shared" si="1"/>
        <v>91851</v>
      </c>
      <c r="M28" s="113">
        <f t="shared" si="2"/>
        <v>53596.666666666664</v>
      </c>
      <c r="N28" s="114">
        <f t="shared" si="3"/>
        <v>59432.666666666672</v>
      </c>
      <c r="O28" s="101">
        <f t="shared" si="5"/>
        <v>204880.33333333331</v>
      </c>
      <c r="P28" s="102"/>
      <c r="Q28" s="124"/>
      <c r="R28" s="56"/>
      <c r="S28" s="79"/>
    </row>
    <row r="29" spans="2:19" s="4" customFormat="1" x14ac:dyDescent="0.75">
      <c r="B29" s="104">
        <v>627.02</v>
      </c>
      <c r="C29" s="105" t="s">
        <v>60</v>
      </c>
      <c r="D29" s="106" t="s">
        <v>37</v>
      </c>
      <c r="E29" s="107">
        <v>1.25</v>
      </c>
      <c r="F29" s="108">
        <f t="shared" si="6"/>
        <v>68293.444444444438</v>
      </c>
      <c r="G29" s="109">
        <v>30617</v>
      </c>
      <c r="H29" s="109">
        <v>17865.555555555555</v>
      </c>
      <c r="I29" s="110">
        <v>19810.888888888891</v>
      </c>
      <c r="J29" s="111">
        <f t="shared" si="4"/>
        <v>68293.444444444438</v>
      </c>
      <c r="K29" s="112">
        <f t="shared" si="0"/>
        <v>85366.805555555547</v>
      </c>
      <c r="L29" s="113">
        <f t="shared" si="1"/>
        <v>38271.25</v>
      </c>
      <c r="M29" s="113">
        <f t="shared" si="2"/>
        <v>22331.944444444445</v>
      </c>
      <c r="N29" s="114">
        <f t="shared" si="3"/>
        <v>24763.611111111113</v>
      </c>
      <c r="O29" s="101">
        <f t="shared" si="5"/>
        <v>85366.805555555562</v>
      </c>
      <c r="P29" s="102"/>
      <c r="Q29" s="103"/>
      <c r="R29" s="56"/>
      <c r="S29" s="79"/>
    </row>
    <row r="30" spans="2:19" s="4" customFormat="1" ht="29.25" x14ac:dyDescent="0.75">
      <c r="B30" s="104">
        <v>628.15039999999999</v>
      </c>
      <c r="C30" s="105" t="s">
        <v>61</v>
      </c>
      <c r="D30" s="106" t="s">
        <v>39</v>
      </c>
      <c r="E30" s="107">
        <v>2.5</v>
      </c>
      <c r="F30" s="108">
        <f t="shared" si="6"/>
        <v>28517</v>
      </c>
      <c r="G30" s="109">
        <v>11845</v>
      </c>
      <c r="H30" s="109">
        <v>6116</v>
      </c>
      <c r="I30" s="110">
        <v>10556</v>
      </c>
      <c r="J30" s="111">
        <f t="shared" si="4"/>
        <v>28517</v>
      </c>
      <c r="K30" s="112">
        <f t="shared" si="0"/>
        <v>71292.5</v>
      </c>
      <c r="L30" s="113">
        <f t="shared" si="1"/>
        <v>29612.5</v>
      </c>
      <c r="M30" s="113">
        <f t="shared" si="2"/>
        <v>15290</v>
      </c>
      <c r="N30" s="114">
        <f t="shared" si="3"/>
        <v>26390</v>
      </c>
      <c r="O30" s="101">
        <f t="shared" si="5"/>
        <v>71292.5</v>
      </c>
      <c r="P30" s="102"/>
      <c r="Q30" s="103"/>
      <c r="R30" s="56"/>
      <c r="S30" s="79"/>
    </row>
    <row r="31" spans="2:19" s="4" customFormat="1" x14ac:dyDescent="0.75">
      <c r="B31" s="104">
        <v>628.70100000000002</v>
      </c>
      <c r="C31" s="105" t="s">
        <v>62</v>
      </c>
      <c r="D31" s="106" t="s">
        <v>63</v>
      </c>
      <c r="E31" s="107">
        <v>75</v>
      </c>
      <c r="F31" s="108">
        <f t="shared" si="6"/>
        <v>16</v>
      </c>
      <c r="G31" s="109">
        <v>8</v>
      </c>
      <c r="H31" s="109">
        <v>0</v>
      </c>
      <c r="I31" s="110">
        <v>8</v>
      </c>
      <c r="J31" s="111">
        <f t="shared" si="4"/>
        <v>16</v>
      </c>
      <c r="K31" s="112">
        <f t="shared" si="0"/>
        <v>1200</v>
      </c>
      <c r="L31" s="113">
        <f t="shared" si="1"/>
        <v>600</v>
      </c>
      <c r="M31" s="113">
        <f t="shared" si="2"/>
        <v>0</v>
      </c>
      <c r="N31" s="114">
        <f t="shared" si="3"/>
        <v>600</v>
      </c>
      <c r="O31" s="101">
        <f t="shared" si="5"/>
        <v>1200</v>
      </c>
      <c r="P31" s="102"/>
      <c r="Q31" s="103"/>
      <c r="R31" s="56"/>
      <c r="S31" s="79"/>
    </row>
    <row r="32" spans="2:19" s="4" customFormat="1" x14ac:dyDescent="0.75">
      <c r="B32" s="104">
        <v>628.75599999999997</v>
      </c>
      <c r="C32" s="105" t="s">
        <v>64</v>
      </c>
      <c r="D32" s="106" t="s">
        <v>63</v>
      </c>
      <c r="E32" s="107">
        <v>750</v>
      </c>
      <c r="F32" s="108">
        <f t="shared" si="6"/>
        <v>18</v>
      </c>
      <c r="G32" s="109">
        <v>14</v>
      </c>
      <c r="H32" s="109">
        <v>2</v>
      </c>
      <c r="I32" s="110">
        <v>2</v>
      </c>
      <c r="J32" s="111">
        <f t="shared" si="4"/>
        <v>18</v>
      </c>
      <c r="K32" s="112">
        <f t="shared" si="0"/>
        <v>13500</v>
      </c>
      <c r="L32" s="113">
        <f t="shared" si="1"/>
        <v>10500</v>
      </c>
      <c r="M32" s="113">
        <f t="shared" si="2"/>
        <v>1500</v>
      </c>
      <c r="N32" s="114">
        <f t="shared" si="3"/>
        <v>1500</v>
      </c>
      <c r="O32" s="101">
        <f t="shared" si="5"/>
        <v>13500</v>
      </c>
      <c r="P32" s="102"/>
      <c r="Q32" s="103"/>
      <c r="R32" s="56"/>
      <c r="S32" s="79"/>
    </row>
    <row r="33" spans="2:19" s="4" customFormat="1" x14ac:dyDescent="0.75">
      <c r="B33" s="104">
        <v>629.01199999999994</v>
      </c>
      <c r="C33" s="105" t="s">
        <v>65</v>
      </c>
      <c r="D33" s="106" t="s">
        <v>66</v>
      </c>
      <c r="E33" s="107">
        <v>110</v>
      </c>
      <c r="F33" s="108">
        <f t="shared" si="6"/>
        <v>43.736159999999998</v>
      </c>
      <c r="G33" s="109">
        <v>20</v>
      </c>
      <c r="H33" s="109">
        <v>11.2553</v>
      </c>
      <c r="I33" s="110">
        <v>12.48086</v>
      </c>
      <c r="J33" s="111">
        <f t="shared" si="4"/>
        <v>43.736159999999998</v>
      </c>
      <c r="K33" s="112">
        <f t="shared" si="0"/>
        <v>4810.9776000000002</v>
      </c>
      <c r="L33" s="113">
        <f t="shared" si="1"/>
        <v>2200</v>
      </c>
      <c r="M33" s="113">
        <f t="shared" si="2"/>
        <v>1238.0830000000001</v>
      </c>
      <c r="N33" s="114">
        <f t="shared" si="3"/>
        <v>1372.8946000000001</v>
      </c>
      <c r="O33" s="101">
        <f t="shared" si="5"/>
        <v>4810.9776000000002</v>
      </c>
      <c r="P33" s="102"/>
      <c r="Q33" s="103" t="s">
        <v>67</v>
      </c>
      <c r="R33" s="56"/>
      <c r="S33" s="79"/>
    </row>
    <row r="34" spans="2:19" s="4" customFormat="1" x14ac:dyDescent="0.75">
      <c r="B34" s="104">
        <v>630.01199999999994</v>
      </c>
      <c r="C34" s="105" t="s">
        <v>68</v>
      </c>
      <c r="D34" s="106" t="s">
        <v>69</v>
      </c>
      <c r="E34" s="107">
        <v>1.8</v>
      </c>
      <c r="F34" s="108">
        <f t="shared" si="6"/>
        <v>3677.5279999999998</v>
      </c>
      <c r="G34" s="109">
        <v>1643</v>
      </c>
      <c r="H34" s="109">
        <v>964.74</v>
      </c>
      <c r="I34" s="110">
        <v>1069.788</v>
      </c>
      <c r="J34" s="111">
        <f t="shared" si="4"/>
        <v>3677.5279999999998</v>
      </c>
      <c r="K34" s="112">
        <f t="shared" si="0"/>
        <v>6619.5504000000001</v>
      </c>
      <c r="L34" s="113">
        <f t="shared" si="1"/>
        <v>2957.4</v>
      </c>
      <c r="M34" s="113">
        <f t="shared" si="2"/>
        <v>1736.5320000000002</v>
      </c>
      <c r="N34" s="114">
        <f t="shared" si="3"/>
        <v>1925.6184000000001</v>
      </c>
      <c r="O34" s="101">
        <f t="shared" si="5"/>
        <v>6619.550400000001</v>
      </c>
      <c r="P34" s="102"/>
      <c r="Q34" s="103"/>
      <c r="R34" s="56"/>
      <c r="S34" s="79"/>
    </row>
    <row r="35" spans="2:19" s="4" customFormat="1" hidden="1" x14ac:dyDescent="0.75">
      <c r="B35" s="104">
        <v>634.04100000000005</v>
      </c>
      <c r="C35" s="105" t="s">
        <v>70</v>
      </c>
      <c r="D35" s="106" t="s">
        <v>48</v>
      </c>
      <c r="E35" s="107">
        <v>60</v>
      </c>
      <c r="F35" s="108">
        <f t="shared" si="6"/>
        <v>0</v>
      </c>
      <c r="G35" s="109"/>
      <c r="H35" s="109"/>
      <c r="I35" s="110"/>
      <c r="J35" s="111">
        <f t="shared" si="4"/>
        <v>0</v>
      </c>
      <c r="K35" s="112">
        <f t="shared" si="0"/>
        <v>0</v>
      </c>
      <c r="L35" s="113">
        <f t="shared" si="1"/>
        <v>0</v>
      </c>
      <c r="M35" s="113">
        <f t="shared" si="2"/>
        <v>0</v>
      </c>
      <c r="N35" s="114">
        <f t="shared" si="3"/>
        <v>0</v>
      </c>
      <c r="O35" s="101">
        <f t="shared" si="5"/>
        <v>0</v>
      </c>
      <c r="P35" s="102"/>
      <c r="Q35" s="103"/>
      <c r="R35" s="56"/>
      <c r="S35" s="79"/>
    </row>
    <row r="36" spans="2:19" s="4" customFormat="1" hidden="1" x14ac:dyDescent="0.75">
      <c r="B36" s="104">
        <v>634.06140000000005</v>
      </c>
      <c r="C36" s="105" t="s">
        <v>71</v>
      </c>
      <c r="D36" s="106" t="s">
        <v>48</v>
      </c>
      <c r="E36" s="107">
        <v>65</v>
      </c>
      <c r="F36" s="108">
        <f t="shared" si="6"/>
        <v>0</v>
      </c>
      <c r="G36" s="109"/>
      <c r="H36" s="109"/>
      <c r="I36" s="110"/>
      <c r="J36" s="111">
        <f t="shared" si="4"/>
        <v>0</v>
      </c>
      <c r="K36" s="112">
        <f t="shared" si="0"/>
        <v>0</v>
      </c>
      <c r="L36" s="113">
        <f t="shared" si="1"/>
        <v>0</v>
      </c>
      <c r="M36" s="113">
        <f t="shared" si="2"/>
        <v>0</v>
      </c>
      <c r="N36" s="114">
        <f t="shared" si="3"/>
        <v>0</v>
      </c>
      <c r="O36" s="101">
        <f t="shared" si="5"/>
        <v>0</v>
      </c>
      <c r="P36" s="102"/>
      <c r="Q36" s="103"/>
      <c r="R36" s="56"/>
      <c r="S36" s="79"/>
    </row>
    <row r="37" spans="2:19" s="4" customFormat="1" hidden="1" x14ac:dyDescent="0.75">
      <c r="B37" s="104">
        <v>637.221</v>
      </c>
      <c r="C37" s="105" t="s">
        <v>72</v>
      </c>
      <c r="D37" s="106" t="s">
        <v>53</v>
      </c>
      <c r="E37" s="107">
        <v>20</v>
      </c>
      <c r="F37" s="108">
        <f t="shared" si="6"/>
        <v>0</v>
      </c>
      <c r="G37" s="109"/>
      <c r="H37" s="109"/>
      <c r="I37" s="110"/>
      <c r="J37" s="111">
        <f t="shared" si="4"/>
        <v>0</v>
      </c>
      <c r="K37" s="112">
        <f t="shared" si="0"/>
        <v>0</v>
      </c>
      <c r="L37" s="113">
        <f t="shared" si="1"/>
        <v>0</v>
      </c>
      <c r="M37" s="113">
        <f t="shared" si="2"/>
        <v>0</v>
      </c>
      <c r="N37" s="114">
        <f t="shared" si="3"/>
        <v>0</v>
      </c>
      <c r="O37" s="101">
        <f t="shared" si="5"/>
        <v>0</v>
      </c>
      <c r="P37" s="102"/>
      <c r="Q37" s="103"/>
      <c r="R37" s="56"/>
      <c r="S37" s="79"/>
    </row>
    <row r="38" spans="2:19" s="4" customFormat="1" hidden="1" x14ac:dyDescent="0.75">
      <c r="B38" s="104">
        <v>637.22299999999996</v>
      </c>
      <c r="C38" s="105" t="s">
        <v>73</v>
      </c>
      <c r="D38" s="106" t="s">
        <v>53</v>
      </c>
      <c r="E38" s="107">
        <v>25</v>
      </c>
      <c r="F38" s="108">
        <f t="shared" si="6"/>
        <v>0</v>
      </c>
      <c r="G38" s="109"/>
      <c r="H38" s="109"/>
      <c r="I38" s="110"/>
      <c r="J38" s="111">
        <f t="shared" si="4"/>
        <v>0</v>
      </c>
      <c r="K38" s="112">
        <f t="shared" si="0"/>
        <v>0</v>
      </c>
      <c r="L38" s="113">
        <f t="shared" si="1"/>
        <v>0</v>
      </c>
      <c r="M38" s="113">
        <f t="shared" si="2"/>
        <v>0</v>
      </c>
      <c r="N38" s="114">
        <f t="shared" si="3"/>
        <v>0</v>
      </c>
      <c r="O38" s="101">
        <f t="shared" si="5"/>
        <v>0</v>
      </c>
      <c r="P38" s="102"/>
      <c r="Q38" s="103"/>
      <c r="R38" s="56"/>
      <c r="S38" s="79"/>
    </row>
    <row r="39" spans="2:19" s="4" customFormat="1" hidden="1" x14ac:dyDescent="0.75">
      <c r="B39" s="104">
        <v>690.02499999999998</v>
      </c>
      <c r="C39" s="105" t="s">
        <v>74</v>
      </c>
      <c r="D39" s="106" t="s">
        <v>75</v>
      </c>
      <c r="E39" s="107">
        <v>3</v>
      </c>
      <c r="F39" s="108">
        <f t="shared" si="6"/>
        <v>0</v>
      </c>
      <c r="G39" s="109"/>
      <c r="H39" s="109"/>
      <c r="I39" s="110"/>
      <c r="J39" s="111">
        <f t="shared" si="4"/>
        <v>0</v>
      </c>
      <c r="K39" s="112">
        <f t="shared" si="0"/>
        <v>0</v>
      </c>
      <c r="L39" s="113">
        <f t="shared" si="1"/>
        <v>0</v>
      </c>
      <c r="M39" s="113">
        <f t="shared" si="2"/>
        <v>0</v>
      </c>
      <c r="N39" s="114">
        <f t="shared" si="3"/>
        <v>0</v>
      </c>
      <c r="O39" s="101">
        <f t="shared" si="5"/>
        <v>0</v>
      </c>
      <c r="P39" s="102"/>
      <c r="Q39" s="103"/>
      <c r="R39" s="56"/>
      <c r="S39" s="79"/>
    </row>
    <row r="40" spans="2:19" s="4" customFormat="1" ht="21" customHeight="1" x14ac:dyDescent="0.75">
      <c r="B40" s="104" t="s">
        <v>76</v>
      </c>
      <c r="C40" s="105" t="s">
        <v>77</v>
      </c>
      <c r="D40" s="106" t="s">
        <v>37</v>
      </c>
      <c r="E40" s="107">
        <v>5</v>
      </c>
      <c r="F40" s="108">
        <f t="shared" si="6"/>
        <v>4060</v>
      </c>
      <c r="G40" s="109">
        <v>430</v>
      </c>
      <c r="H40" s="109">
        <v>0</v>
      </c>
      <c r="I40" s="110">
        <v>3630</v>
      </c>
      <c r="J40" s="111">
        <f t="shared" si="4"/>
        <v>4060</v>
      </c>
      <c r="K40" s="112">
        <f t="shared" si="0"/>
        <v>20300</v>
      </c>
      <c r="L40" s="113">
        <f t="shared" si="1"/>
        <v>2150</v>
      </c>
      <c r="M40" s="113">
        <f t="shared" si="2"/>
        <v>0</v>
      </c>
      <c r="N40" s="114">
        <f t="shared" si="3"/>
        <v>18150</v>
      </c>
      <c r="O40" s="101">
        <f t="shared" si="5"/>
        <v>20300</v>
      </c>
      <c r="P40" s="102"/>
      <c r="Q40" s="103"/>
      <c r="R40" s="56"/>
      <c r="S40" s="79"/>
    </row>
    <row r="41" spans="2:19" s="4" customFormat="1" x14ac:dyDescent="0.75">
      <c r="B41" s="104" t="s">
        <v>78</v>
      </c>
      <c r="C41" s="105" t="s">
        <v>79</v>
      </c>
      <c r="D41" s="106" t="s">
        <v>80</v>
      </c>
      <c r="E41" s="107">
        <v>40000</v>
      </c>
      <c r="F41" s="108">
        <f t="shared" si="6"/>
        <v>1</v>
      </c>
      <c r="G41" s="136">
        <v>0.5</v>
      </c>
      <c r="H41" s="136">
        <v>0.4</v>
      </c>
      <c r="I41" s="137">
        <v>0.1</v>
      </c>
      <c r="J41" s="111">
        <f t="shared" si="4"/>
        <v>1</v>
      </c>
      <c r="K41" s="112">
        <f t="shared" si="0"/>
        <v>40000</v>
      </c>
      <c r="L41" s="113">
        <f>G41*E41</f>
        <v>20000</v>
      </c>
      <c r="M41" s="113">
        <f>H41*E41</f>
        <v>16000</v>
      </c>
      <c r="N41" s="114">
        <f>I41*E41</f>
        <v>4000</v>
      </c>
      <c r="O41" s="101">
        <f t="shared" si="5"/>
        <v>40000</v>
      </c>
      <c r="P41" s="102"/>
      <c r="Q41" s="103"/>
      <c r="R41" s="56"/>
      <c r="S41" s="79"/>
    </row>
    <row r="42" spans="2:19" s="4" customFormat="1" ht="29.25" hidden="1" x14ac:dyDescent="0.75">
      <c r="B42" s="104">
        <v>646.75199999999995</v>
      </c>
      <c r="C42" s="105" t="s">
        <v>81</v>
      </c>
      <c r="D42" s="106" t="s">
        <v>39</v>
      </c>
      <c r="E42" s="107">
        <v>21</v>
      </c>
      <c r="F42" s="108">
        <f t="shared" si="6"/>
        <v>0</v>
      </c>
      <c r="G42" s="109"/>
      <c r="H42" s="109"/>
      <c r="I42" s="110"/>
      <c r="J42" s="111">
        <f t="shared" si="4"/>
        <v>0</v>
      </c>
      <c r="K42" s="112">
        <f t="shared" si="0"/>
        <v>0</v>
      </c>
      <c r="L42" s="113">
        <f>G42*E42</f>
        <v>0</v>
      </c>
      <c r="M42" s="113">
        <f>H42*E42</f>
        <v>0</v>
      </c>
      <c r="N42" s="114">
        <f>I42*E42</f>
        <v>0</v>
      </c>
      <c r="O42" s="101">
        <f t="shared" si="5"/>
        <v>0</v>
      </c>
      <c r="P42" s="102"/>
      <c r="Q42" s="103"/>
      <c r="R42" s="56"/>
      <c r="S42" s="79"/>
    </row>
    <row r="43" spans="2:19" s="4" customFormat="1" ht="15.75" customHeight="1" x14ac:dyDescent="0.75">
      <c r="B43" s="125" t="s">
        <v>82</v>
      </c>
      <c r="C43" s="126" t="s">
        <v>83</v>
      </c>
      <c r="D43" s="127" t="s">
        <v>39</v>
      </c>
      <c r="E43" s="128">
        <v>25</v>
      </c>
      <c r="F43" s="108">
        <f t="shared" ref="F43:F45" si="7">SUM(G43+H43+I43)</f>
        <v>8930</v>
      </c>
      <c r="G43" s="130">
        <v>3770</v>
      </c>
      <c r="H43" s="130">
        <v>4390</v>
      </c>
      <c r="I43" s="131">
        <v>770</v>
      </c>
      <c r="J43" s="132">
        <f t="shared" ref="J43:J45" si="8">G43+H43+I43</f>
        <v>8930</v>
      </c>
      <c r="K43" s="133">
        <f t="shared" ref="K43:K45" si="9">F43*E43</f>
        <v>223250</v>
      </c>
      <c r="L43" s="134">
        <f t="shared" ref="L43:L45" si="10">G43*E43</f>
        <v>94250</v>
      </c>
      <c r="M43" s="134">
        <f t="shared" ref="M43:M45" si="11">H43*E43</f>
        <v>109750</v>
      </c>
      <c r="N43" s="135">
        <f t="shared" ref="N43:N45" si="12">I43*E43</f>
        <v>19250</v>
      </c>
      <c r="O43" s="101">
        <f t="shared" ref="O43:O45" si="13">L43+M43+N43</f>
        <v>223250</v>
      </c>
      <c r="P43" s="102"/>
      <c r="Q43" s="117"/>
      <c r="R43" s="56"/>
      <c r="S43" s="79"/>
    </row>
    <row r="44" spans="2:19" s="4" customFormat="1" ht="43.75" x14ac:dyDescent="0.75">
      <c r="B44" s="344" t="s">
        <v>82</v>
      </c>
      <c r="C44" s="144" t="s">
        <v>248</v>
      </c>
      <c r="D44" s="342" t="s">
        <v>63</v>
      </c>
      <c r="E44" s="343">
        <v>8000</v>
      </c>
      <c r="F44" s="108">
        <f t="shared" si="7"/>
        <v>2</v>
      </c>
      <c r="G44" s="130">
        <v>2</v>
      </c>
      <c r="H44" s="130">
        <v>0</v>
      </c>
      <c r="I44" s="131">
        <v>0</v>
      </c>
      <c r="J44" s="132">
        <f t="shared" si="8"/>
        <v>2</v>
      </c>
      <c r="K44" s="133">
        <f t="shared" si="9"/>
        <v>16000</v>
      </c>
      <c r="L44" s="134">
        <f t="shared" si="10"/>
        <v>16000</v>
      </c>
      <c r="M44" s="134">
        <f t="shared" si="11"/>
        <v>0</v>
      </c>
      <c r="N44" s="135">
        <f t="shared" si="12"/>
        <v>0</v>
      </c>
      <c r="O44" s="101">
        <f t="shared" si="13"/>
        <v>16000</v>
      </c>
      <c r="P44" s="102"/>
      <c r="Q44" s="117"/>
      <c r="R44" s="56"/>
      <c r="S44" s="79"/>
    </row>
    <row r="45" spans="2:19" s="4" customFormat="1" ht="29.25" x14ac:dyDescent="0.75">
      <c r="B45" s="344" t="s">
        <v>82</v>
      </c>
      <c r="C45" s="126" t="s">
        <v>249</v>
      </c>
      <c r="D45" s="342" t="s">
        <v>63</v>
      </c>
      <c r="E45" s="343">
        <v>6000</v>
      </c>
      <c r="F45" s="108">
        <f t="shared" si="7"/>
        <v>2</v>
      </c>
      <c r="G45" s="130">
        <v>2</v>
      </c>
      <c r="H45" s="130">
        <v>0</v>
      </c>
      <c r="I45" s="131">
        <v>0</v>
      </c>
      <c r="J45" s="132">
        <f t="shared" si="8"/>
        <v>2</v>
      </c>
      <c r="K45" s="133">
        <f t="shared" si="9"/>
        <v>12000</v>
      </c>
      <c r="L45" s="134">
        <f t="shared" si="10"/>
        <v>12000</v>
      </c>
      <c r="M45" s="134">
        <f t="shared" si="11"/>
        <v>0</v>
      </c>
      <c r="N45" s="135">
        <f t="shared" si="12"/>
        <v>0</v>
      </c>
      <c r="O45" s="101">
        <f t="shared" si="13"/>
        <v>12000</v>
      </c>
      <c r="P45" s="102"/>
      <c r="Q45" s="117"/>
      <c r="R45" s="56"/>
      <c r="S45" s="79"/>
    </row>
    <row r="46" spans="2:19" s="4" customFormat="1" ht="30" thickBot="1" x14ac:dyDescent="0.9">
      <c r="B46" s="344" t="s">
        <v>82</v>
      </c>
      <c r="C46" s="126" t="s">
        <v>250</v>
      </c>
      <c r="D46" s="342" t="s">
        <v>63</v>
      </c>
      <c r="E46" s="343">
        <v>4000</v>
      </c>
      <c r="F46" s="108">
        <f t="shared" si="6"/>
        <v>4</v>
      </c>
      <c r="G46" s="130">
        <v>4</v>
      </c>
      <c r="H46" s="130">
        <v>0</v>
      </c>
      <c r="I46" s="131">
        <v>0</v>
      </c>
      <c r="J46" s="132">
        <f t="shared" si="4"/>
        <v>4</v>
      </c>
      <c r="K46" s="133">
        <f t="shared" si="0"/>
        <v>16000</v>
      </c>
      <c r="L46" s="134">
        <f>G46*E46</f>
        <v>16000</v>
      </c>
      <c r="M46" s="134">
        <f>H46*E46</f>
        <v>0</v>
      </c>
      <c r="N46" s="135">
        <f>I46*E46</f>
        <v>0</v>
      </c>
      <c r="O46" s="101">
        <f t="shared" si="5"/>
        <v>16000</v>
      </c>
      <c r="P46" s="102"/>
      <c r="Q46" s="117"/>
      <c r="R46" s="56"/>
      <c r="S46" s="79"/>
    </row>
    <row r="47" spans="2:19" s="4" customFormat="1" ht="15.75" customHeight="1" thickBot="1" x14ac:dyDescent="0.9">
      <c r="B47" s="373" t="s">
        <v>84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5"/>
      <c r="O47" s="101"/>
      <c r="P47" s="102"/>
      <c r="Q47" s="117"/>
      <c r="R47" s="56"/>
      <c r="S47" s="79"/>
    </row>
    <row r="48" spans="2:19" s="4" customFormat="1" x14ac:dyDescent="0.75">
      <c r="B48" s="90" t="s">
        <v>82</v>
      </c>
      <c r="C48" s="91" t="s">
        <v>85</v>
      </c>
      <c r="D48" s="92" t="s">
        <v>86</v>
      </c>
      <c r="E48" s="93">
        <v>80000</v>
      </c>
      <c r="F48" s="94">
        <v>1</v>
      </c>
      <c r="G48" s="339">
        <v>0.3</v>
      </c>
      <c r="H48" s="339">
        <v>0.6</v>
      </c>
      <c r="I48" s="340">
        <v>0.1</v>
      </c>
      <c r="J48" s="97">
        <f t="shared" si="4"/>
        <v>0.99999999999999989</v>
      </c>
      <c r="K48" s="98">
        <f t="shared" si="0"/>
        <v>80000</v>
      </c>
      <c r="L48" s="99">
        <f>G48*E48</f>
        <v>24000</v>
      </c>
      <c r="M48" s="99">
        <f>H48*E48</f>
        <v>48000</v>
      </c>
      <c r="N48" s="100">
        <f>I48*E48</f>
        <v>8000</v>
      </c>
      <c r="O48" s="101">
        <f t="shared" si="5"/>
        <v>80000</v>
      </c>
      <c r="P48" s="102"/>
      <c r="Q48" s="103"/>
      <c r="R48" s="56"/>
      <c r="S48" s="79"/>
    </row>
    <row r="49" spans="2:19" s="4" customFormat="1" x14ac:dyDescent="0.75">
      <c r="B49" s="104" t="s">
        <v>82</v>
      </c>
      <c r="C49" s="105" t="s">
        <v>87</v>
      </c>
      <c r="D49" s="106" t="s">
        <v>86</v>
      </c>
      <c r="E49" s="107">
        <v>20000</v>
      </c>
      <c r="F49" s="108">
        <v>1</v>
      </c>
      <c r="G49" s="136">
        <v>0.2</v>
      </c>
      <c r="H49" s="136">
        <v>0.7</v>
      </c>
      <c r="I49" s="137">
        <v>0.1</v>
      </c>
      <c r="J49" s="111">
        <f t="shared" si="4"/>
        <v>0.99999999999999989</v>
      </c>
      <c r="K49" s="112">
        <f t="shared" si="0"/>
        <v>20000</v>
      </c>
      <c r="L49" s="113">
        <f>G49*E49</f>
        <v>4000</v>
      </c>
      <c r="M49" s="113">
        <f>H49*E49</f>
        <v>14000</v>
      </c>
      <c r="N49" s="114">
        <f>I49*E49</f>
        <v>2000</v>
      </c>
      <c r="O49" s="101">
        <f t="shared" si="5"/>
        <v>20000</v>
      </c>
      <c r="P49" s="102"/>
      <c r="Q49" s="103"/>
      <c r="R49" s="56"/>
      <c r="S49" s="79"/>
    </row>
    <row r="50" spans="2:19" s="4" customFormat="1" ht="29" x14ac:dyDescent="0.75">
      <c r="B50" s="345" t="s">
        <v>82</v>
      </c>
      <c r="C50" s="346" t="s">
        <v>88</v>
      </c>
      <c r="D50" s="342" t="s">
        <v>86</v>
      </c>
      <c r="E50" s="347">
        <v>250000</v>
      </c>
      <c r="F50" s="108">
        <v>1</v>
      </c>
      <c r="G50" s="136">
        <v>0.5</v>
      </c>
      <c r="H50" s="136">
        <v>0.4</v>
      </c>
      <c r="I50" s="137">
        <v>0.1</v>
      </c>
      <c r="J50" s="111">
        <f t="shared" si="4"/>
        <v>1</v>
      </c>
      <c r="K50" s="348">
        <f t="shared" si="0"/>
        <v>250000</v>
      </c>
      <c r="L50" s="349">
        <f>G50*E50</f>
        <v>125000</v>
      </c>
      <c r="M50" s="349">
        <f>H50*E50</f>
        <v>100000</v>
      </c>
      <c r="N50" s="350">
        <f>I50*E50</f>
        <v>25000</v>
      </c>
      <c r="O50" s="101">
        <f t="shared" si="5"/>
        <v>250000</v>
      </c>
      <c r="P50" s="102"/>
      <c r="Q50" s="103"/>
      <c r="R50" s="56"/>
      <c r="S50" s="79"/>
    </row>
    <row r="51" spans="2:19" s="4" customFormat="1" ht="15.5" thickBot="1" x14ac:dyDescent="0.9">
      <c r="B51" s="125" t="s">
        <v>82</v>
      </c>
      <c r="C51" s="126" t="s">
        <v>89</v>
      </c>
      <c r="D51" s="127" t="s">
        <v>86</v>
      </c>
      <c r="E51" s="128">
        <v>150000</v>
      </c>
      <c r="F51" s="129">
        <v>1</v>
      </c>
      <c r="G51" s="138">
        <v>0.5</v>
      </c>
      <c r="H51" s="138">
        <v>0.4</v>
      </c>
      <c r="I51" s="139">
        <v>0.1</v>
      </c>
      <c r="J51" s="132">
        <f t="shared" si="4"/>
        <v>1</v>
      </c>
      <c r="K51" s="133">
        <f t="shared" si="0"/>
        <v>150000</v>
      </c>
      <c r="L51" s="134">
        <f>G51*E51</f>
        <v>75000</v>
      </c>
      <c r="M51" s="134">
        <f>H51*E51</f>
        <v>60000</v>
      </c>
      <c r="N51" s="135">
        <f>I51*E51</f>
        <v>15000</v>
      </c>
      <c r="O51" s="101">
        <f t="shared" si="5"/>
        <v>150000</v>
      </c>
      <c r="P51" s="102"/>
      <c r="Q51" s="103"/>
      <c r="R51" s="56"/>
      <c r="S51" s="79"/>
    </row>
    <row r="52" spans="2:19" s="18" customFormat="1" ht="15.5" thickBot="1" x14ac:dyDescent="0.9">
      <c r="B52" s="373" t="s">
        <v>90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5"/>
      <c r="O52" s="101">
        <f t="shared" si="5"/>
        <v>0</v>
      </c>
      <c r="P52" s="77"/>
      <c r="Q52" s="140"/>
      <c r="R52" s="141"/>
      <c r="S52" s="142"/>
    </row>
    <row r="53" spans="2:19" s="4" customFormat="1" ht="29.25" x14ac:dyDescent="0.75">
      <c r="B53" s="90"/>
      <c r="C53" s="91" t="s">
        <v>91</v>
      </c>
      <c r="D53" s="92" t="s">
        <v>39</v>
      </c>
      <c r="E53" s="93">
        <v>12000</v>
      </c>
      <c r="F53" s="108">
        <f t="shared" ref="F53:F59" si="14">SUM(G53+H53+I53)</f>
        <v>100</v>
      </c>
      <c r="G53" s="95">
        <v>100</v>
      </c>
      <c r="H53" s="95">
        <v>0</v>
      </c>
      <c r="I53" s="96">
        <v>0</v>
      </c>
      <c r="J53" s="97">
        <f t="shared" si="4"/>
        <v>100</v>
      </c>
      <c r="K53" s="98">
        <f t="shared" si="0"/>
        <v>1200000</v>
      </c>
      <c r="L53" s="99">
        <f t="shared" ref="L53:L60" si="15">G53*E53</f>
        <v>1200000</v>
      </c>
      <c r="M53" s="99">
        <f t="shared" ref="M53:M60" si="16">H53*E53</f>
        <v>0</v>
      </c>
      <c r="N53" s="100">
        <f t="shared" ref="N53:N60" si="17">I53*E53</f>
        <v>0</v>
      </c>
      <c r="O53" s="101">
        <f t="shared" si="5"/>
        <v>1200000</v>
      </c>
      <c r="P53" s="102"/>
      <c r="Q53" s="117"/>
      <c r="R53" s="56"/>
      <c r="S53" s="79"/>
    </row>
    <row r="54" spans="2:19" s="4" customFormat="1" ht="43.75" x14ac:dyDescent="0.75">
      <c r="B54" s="104"/>
      <c r="C54" s="105" t="s">
        <v>92</v>
      </c>
      <c r="D54" s="106" t="s">
        <v>86</v>
      </c>
      <c r="E54" s="107">
        <v>60000</v>
      </c>
      <c r="F54" s="108">
        <f t="shared" si="14"/>
        <v>1</v>
      </c>
      <c r="G54" s="109">
        <v>1</v>
      </c>
      <c r="H54" s="109">
        <v>0</v>
      </c>
      <c r="I54" s="110">
        <v>0</v>
      </c>
      <c r="J54" s="111">
        <f t="shared" si="4"/>
        <v>1</v>
      </c>
      <c r="K54" s="112">
        <f t="shared" si="0"/>
        <v>60000</v>
      </c>
      <c r="L54" s="113">
        <f t="shared" si="15"/>
        <v>60000</v>
      </c>
      <c r="M54" s="113">
        <f t="shared" si="16"/>
        <v>0</v>
      </c>
      <c r="N54" s="114">
        <f t="shared" si="17"/>
        <v>0</v>
      </c>
      <c r="O54" s="101">
        <f t="shared" si="5"/>
        <v>60000</v>
      </c>
      <c r="P54" s="102"/>
      <c r="Q54" s="117"/>
      <c r="R54" s="56"/>
      <c r="S54" s="79"/>
    </row>
    <row r="55" spans="2:19" s="4" customFormat="1" x14ac:dyDescent="0.75">
      <c r="B55" s="104"/>
      <c r="C55" s="105" t="s">
        <v>93</v>
      </c>
      <c r="D55" s="106" t="s">
        <v>86</v>
      </c>
      <c r="E55" s="107">
        <v>50000</v>
      </c>
      <c r="F55" s="108">
        <f t="shared" si="14"/>
        <v>1</v>
      </c>
      <c r="G55" s="109">
        <v>1</v>
      </c>
      <c r="H55" s="109">
        <v>0</v>
      </c>
      <c r="I55" s="110">
        <v>0</v>
      </c>
      <c r="J55" s="111">
        <f t="shared" si="4"/>
        <v>1</v>
      </c>
      <c r="K55" s="112">
        <f t="shared" si="0"/>
        <v>50000</v>
      </c>
      <c r="L55" s="113">
        <f t="shared" si="15"/>
        <v>50000</v>
      </c>
      <c r="M55" s="113">
        <f t="shared" si="16"/>
        <v>0</v>
      </c>
      <c r="N55" s="114">
        <f t="shared" si="17"/>
        <v>0</v>
      </c>
      <c r="O55" s="101">
        <f t="shared" si="5"/>
        <v>50000</v>
      </c>
      <c r="P55" s="102"/>
      <c r="Q55" s="117"/>
      <c r="R55" s="56"/>
      <c r="S55" s="79"/>
    </row>
    <row r="56" spans="2:19" s="4" customFormat="1" x14ac:dyDescent="0.75">
      <c r="B56" s="104"/>
      <c r="C56" s="105" t="s">
        <v>94</v>
      </c>
      <c r="D56" s="106" t="s">
        <v>53</v>
      </c>
      <c r="E56" s="107">
        <v>40</v>
      </c>
      <c r="F56" s="108">
        <f t="shared" si="14"/>
        <v>960</v>
      </c>
      <c r="G56" s="109">
        <v>960</v>
      </c>
      <c r="H56" s="109">
        <v>0</v>
      </c>
      <c r="I56" s="110">
        <v>0</v>
      </c>
      <c r="J56" s="111">
        <f t="shared" si="4"/>
        <v>960</v>
      </c>
      <c r="K56" s="112">
        <f t="shared" si="0"/>
        <v>38400</v>
      </c>
      <c r="L56" s="113">
        <f t="shared" si="15"/>
        <v>38400</v>
      </c>
      <c r="M56" s="113">
        <f t="shared" si="16"/>
        <v>0</v>
      </c>
      <c r="N56" s="114">
        <f t="shared" si="17"/>
        <v>0</v>
      </c>
      <c r="O56" s="101">
        <f t="shared" si="5"/>
        <v>38400</v>
      </c>
      <c r="P56" s="102"/>
      <c r="Q56" s="117"/>
      <c r="R56" s="56"/>
      <c r="S56" s="79"/>
    </row>
    <row r="57" spans="2:19" s="4" customFormat="1" x14ac:dyDescent="0.75">
      <c r="B57" s="104"/>
      <c r="C57" s="105" t="s">
        <v>251</v>
      </c>
      <c r="D57" s="106" t="s">
        <v>39</v>
      </c>
      <c r="E57" s="107">
        <v>60</v>
      </c>
      <c r="F57" s="108">
        <f t="shared" si="14"/>
        <v>4368</v>
      </c>
      <c r="G57" s="109">
        <v>456</v>
      </c>
      <c r="H57" s="109">
        <v>0</v>
      </c>
      <c r="I57" s="110">
        <v>3912</v>
      </c>
      <c r="J57" s="111">
        <f t="shared" si="4"/>
        <v>4368</v>
      </c>
      <c r="K57" s="112">
        <f t="shared" si="0"/>
        <v>262080</v>
      </c>
      <c r="L57" s="113">
        <f t="shared" si="15"/>
        <v>27360</v>
      </c>
      <c r="M57" s="113">
        <f t="shared" si="16"/>
        <v>0</v>
      </c>
      <c r="N57" s="114">
        <f t="shared" si="17"/>
        <v>234720</v>
      </c>
      <c r="O57" s="101">
        <f t="shared" si="5"/>
        <v>262080</v>
      </c>
      <c r="P57" s="102"/>
      <c r="Q57" s="117" t="s">
        <v>95</v>
      </c>
      <c r="R57" s="56"/>
      <c r="S57" s="79"/>
    </row>
    <row r="58" spans="2:19" s="4" customFormat="1" x14ac:dyDescent="0.75">
      <c r="B58" s="104"/>
      <c r="C58" s="105" t="s">
        <v>96</v>
      </c>
      <c r="D58" s="106" t="s">
        <v>39</v>
      </c>
      <c r="E58" s="107">
        <v>150</v>
      </c>
      <c r="F58" s="108">
        <f t="shared" si="14"/>
        <v>1820</v>
      </c>
      <c r="G58" s="109">
        <v>190</v>
      </c>
      <c r="H58" s="109">
        <v>0</v>
      </c>
      <c r="I58" s="110">
        <v>1630</v>
      </c>
      <c r="J58" s="111">
        <f t="shared" si="4"/>
        <v>1820</v>
      </c>
      <c r="K58" s="112">
        <f t="shared" si="0"/>
        <v>273000</v>
      </c>
      <c r="L58" s="113">
        <f t="shared" si="15"/>
        <v>28500</v>
      </c>
      <c r="M58" s="113">
        <f t="shared" si="16"/>
        <v>0</v>
      </c>
      <c r="N58" s="114">
        <f t="shared" si="17"/>
        <v>244500</v>
      </c>
      <c r="O58" s="101">
        <f t="shared" si="5"/>
        <v>273000</v>
      </c>
      <c r="P58" s="102"/>
      <c r="Q58" s="117"/>
      <c r="R58" s="56"/>
      <c r="S58" s="79"/>
    </row>
    <row r="59" spans="2:19" s="4" customFormat="1" x14ac:dyDescent="0.75">
      <c r="B59" s="125"/>
      <c r="C59" s="126" t="s">
        <v>97</v>
      </c>
      <c r="D59" s="127" t="s">
        <v>39</v>
      </c>
      <c r="E59" s="128">
        <v>70</v>
      </c>
      <c r="F59" s="108">
        <f t="shared" si="14"/>
        <v>1820</v>
      </c>
      <c r="G59" s="130">
        <v>190</v>
      </c>
      <c r="H59" s="130">
        <v>0</v>
      </c>
      <c r="I59" s="131">
        <v>1630</v>
      </c>
      <c r="J59" s="132">
        <f t="shared" si="4"/>
        <v>1820</v>
      </c>
      <c r="K59" s="133">
        <f t="shared" si="0"/>
        <v>127400</v>
      </c>
      <c r="L59" s="113">
        <f t="shared" si="15"/>
        <v>13300</v>
      </c>
      <c r="M59" s="113">
        <f t="shared" si="16"/>
        <v>0</v>
      </c>
      <c r="N59" s="114">
        <f t="shared" si="17"/>
        <v>114100</v>
      </c>
      <c r="O59" s="101">
        <f t="shared" si="5"/>
        <v>127400</v>
      </c>
      <c r="P59" s="143"/>
      <c r="Q59" s="144" t="s">
        <v>98</v>
      </c>
      <c r="R59" s="56"/>
      <c r="S59" s="79"/>
    </row>
    <row r="60" spans="2:19" s="19" customFormat="1" ht="15.5" thickBot="1" x14ac:dyDescent="0.9">
      <c r="B60" s="145"/>
      <c r="C60" s="146" t="s">
        <v>99</v>
      </c>
      <c r="D60" s="147" t="s">
        <v>53</v>
      </c>
      <c r="E60" s="148">
        <v>5</v>
      </c>
      <c r="F60" s="149">
        <v>22220</v>
      </c>
      <c r="G60" s="150">
        <v>2660</v>
      </c>
      <c r="H60" s="150">
        <v>0</v>
      </c>
      <c r="I60" s="151">
        <v>19560</v>
      </c>
      <c r="J60" s="152">
        <f t="shared" si="4"/>
        <v>22220</v>
      </c>
      <c r="K60" s="133">
        <f t="shared" si="0"/>
        <v>111100</v>
      </c>
      <c r="L60" s="134">
        <f t="shared" si="15"/>
        <v>13300</v>
      </c>
      <c r="M60" s="134">
        <f t="shared" si="16"/>
        <v>0</v>
      </c>
      <c r="N60" s="135">
        <f t="shared" si="17"/>
        <v>97800</v>
      </c>
      <c r="O60" s="153">
        <f t="shared" si="5"/>
        <v>111100</v>
      </c>
      <c r="P60" s="154"/>
      <c r="Q60" s="155" t="s">
        <v>100</v>
      </c>
      <c r="R60" s="155"/>
      <c r="S60" s="155"/>
    </row>
    <row r="61" spans="2:19" s="18" customFormat="1" x14ac:dyDescent="0.75">
      <c r="B61" s="376" t="s">
        <v>252</v>
      </c>
      <c r="C61" s="377"/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N61" s="378"/>
      <c r="O61" s="101">
        <f t="shared" si="5"/>
        <v>0</v>
      </c>
      <c r="P61" s="156"/>
      <c r="Q61" s="141"/>
      <c r="R61" s="141"/>
      <c r="S61" s="141"/>
    </row>
    <row r="62" spans="2:19" s="4" customFormat="1" x14ac:dyDescent="0.75">
      <c r="B62" s="158"/>
      <c r="C62" s="105" t="s">
        <v>101</v>
      </c>
      <c r="D62" s="106" t="s">
        <v>86</v>
      </c>
      <c r="E62" s="159">
        <v>80000</v>
      </c>
      <c r="F62" s="160">
        <v>2</v>
      </c>
      <c r="G62" s="161">
        <v>1</v>
      </c>
      <c r="H62" s="161">
        <v>0.8</v>
      </c>
      <c r="I62" s="161">
        <v>0.2</v>
      </c>
      <c r="J62" s="162">
        <f t="shared" si="4"/>
        <v>2</v>
      </c>
      <c r="K62" s="112">
        <f t="shared" si="0"/>
        <v>160000</v>
      </c>
      <c r="L62" s="113">
        <f>G62*E62</f>
        <v>80000</v>
      </c>
      <c r="M62" s="113">
        <f>H62*E62</f>
        <v>64000</v>
      </c>
      <c r="N62" s="114">
        <f>I62*E62</f>
        <v>16000</v>
      </c>
      <c r="O62" s="101">
        <f t="shared" si="5"/>
        <v>160000</v>
      </c>
      <c r="P62" s="157"/>
      <c r="Q62" s="56"/>
      <c r="R62" s="56"/>
      <c r="S62" s="56"/>
    </row>
    <row r="63" spans="2:19" s="4" customFormat="1" ht="15.5" thickBot="1" x14ac:dyDescent="0.9">
      <c r="B63" s="163"/>
      <c r="C63" s="164" t="s">
        <v>102</v>
      </c>
      <c r="D63" s="165" t="s">
        <v>63</v>
      </c>
      <c r="E63" s="166">
        <v>10000</v>
      </c>
      <c r="F63" s="167">
        <v>2</v>
      </c>
      <c r="G63" s="338">
        <v>1</v>
      </c>
      <c r="H63" s="338">
        <v>0.8</v>
      </c>
      <c r="I63" s="338">
        <v>0.2</v>
      </c>
      <c r="J63" s="168">
        <f t="shared" si="4"/>
        <v>2</v>
      </c>
      <c r="K63" s="169">
        <f t="shared" si="0"/>
        <v>20000</v>
      </c>
      <c r="L63" s="170">
        <f>G63*E63</f>
        <v>10000</v>
      </c>
      <c r="M63" s="170">
        <f>H63*E63</f>
        <v>8000</v>
      </c>
      <c r="N63" s="171">
        <f>I63*E63</f>
        <v>2000</v>
      </c>
      <c r="O63" s="101">
        <f t="shared" si="5"/>
        <v>20000</v>
      </c>
      <c r="P63" s="157"/>
      <c r="Q63" s="56"/>
      <c r="R63" s="56"/>
      <c r="S63" s="56"/>
    </row>
    <row r="64" spans="2:19" x14ac:dyDescent="0.75">
      <c r="B64" s="43"/>
      <c r="C64" s="172"/>
      <c r="D64" s="53"/>
      <c r="E64" s="173"/>
      <c r="F64" s="174"/>
      <c r="G64" s="175"/>
      <c r="H64" s="175"/>
      <c r="I64" s="175"/>
      <c r="J64" s="176"/>
      <c r="K64" s="177"/>
      <c r="L64" s="53"/>
      <c r="M64" s="53"/>
      <c r="N64" s="53"/>
      <c r="O64" s="178"/>
      <c r="P64" s="178"/>
      <c r="Q64" s="43"/>
      <c r="R64" s="43"/>
      <c r="S64" s="43"/>
    </row>
    <row r="65" spans="2:19" x14ac:dyDescent="0.75">
      <c r="B65" s="43"/>
      <c r="C65" s="172"/>
      <c r="D65" s="53"/>
      <c r="E65" s="173"/>
      <c r="F65" s="174"/>
      <c r="G65" s="175"/>
      <c r="H65" s="175"/>
      <c r="I65" s="175"/>
      <c r="J65" s="176"/>
      <c r="K65" s="177"/>
      <c r="L65" s="53"/>
      <c r="M65" s="53"/>
      <c r="N65" s="53"/>
      <c r="O65" s="178"/>
      <c r="P65" s="178"/>
      <c r="Q65" s="43"/>
      <c r="R65" s="43"/>
      <c r="S65" s="43"/>
    </row>
    <row r="66" spans="2:19" ht="15.5" thickBot="1" x14ac:dyDescent="0.9">
      <c r="B66" s="43"/>
      <c r="C66" s="172"/>
      <c r="D66" s="53"/>
      <c r="E66" s="173"/>
      <c r="F66" s="174"/>
      <c r="G66" s="175"/>
      <c r="H66" s="175"/>
      <c r="I66" s="175"/>
      <c r="J66" s="176"/>
      <c r="K66" s="177"/>
      <c r="L66" s="53"/>
      <c r="M66" s="53"/>
      <c r="N66" s="53"/>
      <c r="O66" s="178"/>
      <c r="P66" s="178"/>
      <c r="Q66" s="43"/>
      <c r="R66" s="43"/>
      <c r="S66" s="43"/>
    </row>
    <row r="67" spans="2:19" x14ac:dyDescent="0.75">
      <c r="B67" s="43"/>
      <c r="C67" s="172"/>
      <c r="D67" s="59"/>
      <c r="E67" s="60"/>
      <c r="F67" s="61"/>
      <c r="G67" s="62"/>
      <c r="H67" s="379"/>
      <c r="I67" s="380"/>
      <c r="J67" s="179"/>
      <c r="K67" s="180" t="s">
        <v>103</v>
      </c>
      <c r="L67" s="181" t="s">
        <v>104</v>
      </c>
      <c r="M67" s="181" t="s">
        <v>105</v>
      </c>
      <c r="N67" s="182" t="s">
        <v>106</v>
      </c>
      <c r="O67" s="178"/>
      <c r="P67" s="178"/>
      <c r="Q67" s="43"/>
      <c r="R67" s="43"/>
      <c r="S67" s="43"/>
    </row>
    <row r="68" spans="2:19" x14ac:dyDescent="0.75">
      <c r="B68" s="183"/>
      <c r="C68" s="172"/>
      <c r="D68" s="59"/>
      <c r="E68" s="184"/>
      <c r="F68" s="61"/>
      <c r="G68" s="61"/>
      <c r="H68" s="185" t="s">
        <v>107</v>
      </c>
      <c r="I68" s="186"/>
      <c r="J68" s="187"/>
      <c r="K68" s="188">
        <f>SUM(K11:K63)</f>
        <v>5342964.1668888889</v>
      </c>
      <c r="L68" s="189">
        <f>SUM(L11:L67)</f>
        <v>3011612.15</v>
      </c>
      <c r="M68" s="189">
        <f>SUM(M11:M67)</f>
        <v>920415.22611111111</v>
      </c>
      <c r="N68" s="190">
        <f>SUM(N11:N67)</f>
        <v>1410936.7907777778</v>
      </c>
      <c r="O68" s="191"/>
      <c r="P68" s="191"/>
      <c r="Q68" s="192"/>
      <c r="R68" s="43"/>
      <c r="S68" s="193"/>
    </row>
    <row r="69" spans="2:19" x14ac:dyDescent="0.75">
      <c r="B69" s="183"/>
      <c r="C69" s="172"/>
      <c r="D69" s="59"/>
      <c r="E69" s="184"/>
      <c r="F69" s="61"/>
      <c r="G69" s="61"/>
      <c r="H69" s="381" t="s">
        <v>108</v>
      </c>
      <c r="I69" s="382"/>
      <c r="J69" s="194"/>
      <c r="K69" s="195">
        <f>K68*0.1</f>
        <v>534296.41668888892</v>
      </c>
      <c r="L69" s="159">
        <f t="shared" ref="L69:N69" si="18">L68*0.1</f>
        <v>301161.21500000003</v>
      </c>
      <c r="M69" s="159">
        <f t="shared" si="18"/>
        <v>92041.522611111111</v>
      </c>
      <c r="N69" s="196">
        <f t="shared" si="18"/>
        <v>141093.67907777778</v>
      </c>
      <c r="O69" s="191"/>
      <c r="P69" s="191"/>
      <c r="Q69" s="192"/>
      <c r="R69" s="43"/>
      <c r="S69" s="193"/>
    </row>
    <row r="70" spans="2:19" x14ac:dyDescent="0.75">
      <c r="B70" s="183"/>
      <c r="C70" s="172"/>
      <c r="D70" s="59"/>
      <c r="E70" s="184"/>
      <c r="F70" s="61"/>
      <c r="G70" s="61"/>
      <c r="H70" s="383" t="s">
        <v>109</v>
      </c>
      <c r="I70" s="384"/>
      <c r="J70" s="187"/>
      <c r="K70" s="188">
        <f>K68+K69</f>
        <v>5877260.5835777782</v>
      </c>
      <c r="L70" s="189">
        <f t="shared" ref="L70:N70" si="19">L68+L69</f>
        <v>3312773.3649999998</v>
      </c>
      <c r="M70" s="189">
        <f t="shared" si="19"/>
        <v>1012456.7487222222</v>
      </c>
      <c r="N70" s="190">
        <f t="shared" si="19"/>
        <v>1552030.4698555556</v>
      </c>
      <c r="O70" s="191"/>
      <c r="P70" s="191"/>
      <c r="Q70" s="192"/>
      <c r="R70" s="43"/>
      <c r="S70" s="193"/>
    </row>
    <row r="71" spans="2:19" x14ac:dyDescent="0.75">
      <c r="B71" s="197"/>
      <c r="C71" s="198"/>
      <c r="D71" s="199"/>
      <c r="E71" s="199"/>
      <c r="F71" s="199"/>
      <c r="G71" s="200"/>
      <c r="H71" s="201"/>
      <c r="I71" s="202" t="s">
        <v>110</v>
      </c>
      <c r="J71" s="203"/>
      <c r="K71" s="204">
        <f>K70*0.23</f>
        <v>1351769.9342228891</v>
      </c>
      <c r="L71" s="205">
        <f t="shared" ref="L71:N71" si="20">L70*0.23</f>
        <v>761937.87394999992</v>
      </c>
      <c r="M71" s="205">
        <f t="shared" si="20"/>
        <v>232865.05220611111</v>
      </c>
      <c r="N71" s="205">
        <f t="shared" si="20"/>
        <v>356967.00806677778</v>
      </c>
      <c r="O71" s="206"/>
      <c r="P71" s="206"/>
      <c r="Q71" s="207"/>
      <c r="R71" s="43"/>
      <c r="S71" s="193"/>
    </row>
    <row r="72" spans="2:19" x14ac:dyDescent="0.75">
      <c r="B72" s="197"/>
      <c r="C72" s="198"/>
      <c r="D72" s="199"/>
      <c r="E72" s="199"/>
      <c r="F72" s="199"/>
      <c r="G72" s="200"/>
      <c r="H72" s="208"/>
      <c r="I72" s="209" t="s">
        <v>111</v>
      </c>
      <c r="J72" s="210"/>
      <c r="K72" s="211">
        <f>K70*0.14</f>
        <v>822816.48170088907</v>
      </c>
      <c r="L72" s="212">
        <f t="shared" ref="L72:N72" si="21">L70*0.14</f>
        <v>463788.27110000001</v>
      </c>
      <c r="M72" s="212">
        <f t="shared" si="21"/>
        <v>141743.94482111113</v>
      </c>
      <c r="N72" s="212">
        <f t="shared" si="21"/>
        <v>217284.26577977781</v>
      </c>
      <c r="O72" s="213"/>
      <c r="P72" s="213"/>
      <c r="Q72" s="214"/>
      <c r="R72" s="43"/>
      <c r="S72" s="193"/>
    </row>
    <row r="73" spans="2:19" x14ac:dyDescent="0.75">
      <c r="B73" s="197"/>
      <c r="C73" s="198"/>
      <c r="D73" s="215"/>
      <c r="E73" s="216"/>
      <c r="F73" s="217"/>
      <c r="G73" s="62"/>
      <c r="H73" s="359" t="s">
        <v>112</v>
      </c>
      <c r="I73" s="360"/>
      <c r="J73" s="218"/>
      <c r="K73" s="204">
        <f>SUM(K70:K72)</f>
        <v>8051846.9995015562</v>
      </c>
      <c r="L73" s="205">
        <f t="shared" ref="L73:N73" si="22">SUM(L70:L72)</f>
        <v>4538499.5100499997</v>
      </c>
      <c r="M73" s="205">
        <f t="shared" si="22"/>
        <v>1387065.7457494445</v>
      </c>
      <c r="N73" s="205">
        <f t="shared" si="22"/>
        <v>2126281.7437021113</v>
      </c>
      <c r="O73" s="206"/>
      <c r="P73" s="206"/>
      <c r="Q73" s="214"/>
      <c r="R73" s="43"/>
      <c r="S73" s="193"/>
    </row>
    <row r="74" spans="2:19" x14ac:dyDescent="0.75">
      <c r="B74" s="43"/>
      <c r="C74" s="172"/>
      <c r="D74" s="53"/>
      <c r="E74" s="173"/>
      <c r="F74" s="174"/>
      <c r="G74" s="175"/>
      <c r="H74" s="175"/>
      <c r="I74" s="175"/>
      <c r="J74" s="176"/>
      <c r="K74" s="177"/>
      <c r="L74" s="53"/>
      <c r="M74" s="53"/>
      <c r="N74" s="53"/>
      <c r="O74" s="178"/>
      <c r="P74" s="178"/>
      <c r="Q74" s="43"/>
      <c r="R74" s="43"/>
      <c r="S74" s="193"/>
    </row>
    <row r="75" spans="2:19" x14ac:dyDescent="0.75">
      <c r="B75" s="43"/>
      <c r="C75" s="172"/>
      <c r="D75" s="53"/>
      <c r="E75" s="173"/>
      <c r="F75" s="174"/>
      <c r="G75" s="175"/>
      <c r="H75" s="175" t="s">
        <v>234</v>
      </c>
      <c r="I75" s="175" t="s">
        <v>235</v>
      </c>
      <c r="J75" s="176"/>
      <c r="K75" s="323">
        <v>820981</v>
      </c>
      <c r="L75" s="53"/>
      <c r="M75" s="173"/>
      <c r="N75" s="53"/>
      <c r="O75" s="178"/>
      <c r="P75" s="178"/>
      <c r="Q75" s="43"/>
      <c r="R75" s="43"/>
      <c r="S75" s="193"/>
    </row>
    <row r="76" spans="2:19" x14ac:dyDescent="0.75">
      <c r="B76" s="43"/>
      <c r="C76" s="172"/>
      <c r="D76" s="53"/>
      <c r="E76" s="173"/>
      <c r="F76" s="174"/>
      <c r="G76" s="175"/>
      <c r="H76" s="175"/>
      <c r="I76" s="175" t="s">
        <v>236</v>
      </c>
      <c r="J76" s="176"/>
      <c r="K76" s="323">
        <v>939689</v>
      </c>
      <c r="L76" s="53"/>
      <c r="M76" s="53"/>
      <c r="N76" s="53"/>
      <c r="O76" s="178"/>
      <c r="P76" s="178"/>
      <c r="Q76" s="43"/>
      <c r="R76" s="43"/>
      <c r="S76" s="193"/>
    </row>
    <row r="77" spans="2:19" x14ac:dyDescent="0.75">
      <c r="B77" s="43"/>
      <c r="C77" s="172"/>
      <c r="D77" s="53"/>
      <c r="E77" s="173"/>
      <c r="F77" s="174"/>
      <c r="G77" s="175"/>
      <c r="H77" s="175"/>
      <c r="I77" s="175" t="s">
        <v>237</v>
      </c>
      <c r="J77" s="176"/>
      <c r="K77" s="324">
        <f>K75+K76</f>
        <v>1760670</v>
      </c>
      <c r="L77" s="53"/>
      <c r="M77" s="53"/>
      <c r="N77" s="53"/>
      <c r="O77" s="178"/>
      <c r="P77" s="178"/>
      <c r="Q77" s="43"/>
      <c r="R77" s="43"/>
      <c r="S77" s="193"/>
    </row>
    <row r="78" spans="2:19" x14ac:dyDescent="0.75">
      <c r="B78" s="43"/>
      <c r="C78" s="172"/>
      <c r="D78" s="53"/>
      <c r="E78" s="173"/>
      <c r="F78" s="174"/>
      <c r="G78" s="175"/>
      <c r="H78" s="175"/>
      <c r="I78" s="175" t="s">
        <v>253</v>
      </c>
      <c r="J78" s="176"/>
      <c r="K78" s="325">
        <f>K73-K77</f>
        <v>6291176.9995015562</v>
      </c>
      <c r="L78" s="53"/>
      <c r="M78" s="53"/>
      <c r="N78" s="53"/>
      <c r="O78" s="178"/>
      <c r="P78" s="178"/>
      <c r="Q78" s="43"/>
      <c r="R78" s="43"/>
      <c r="S78" s="193"/>
    </row>
    <row r="79" spans="2:19" x14ac:dyDescent="0.75">
      <c r="B79" s="43"/>
      <c r="C79" s="172"/>
      <c r="D79" s="53"/>
      <c r="E79" s="173"/>
      <c r="F79" s="174"/>
      <c r="G79" s="175"/>
      <c r="H79" s="175"/>
      <c r="I79" s="175"/>
      <c r="J79" s="176"/>
      <c r="K79" s="177"/>
      <c r="L79" s="53"/>
      <c r="M79" s="53"/>
      <c r="N79" s="53"/>
      <c r="O79" s="178"/>
      <c r="P79" s="178"/>
      <c r="Q79" s="43"/>
      <c r="R79" s="43"/>
      <c r="S79" s="193"/>
    </row>
    <row r="80" spans="2:19" x14ac:dyDescent="0.75">
      <c r="B80" s="43"/>
      <c r="C80" s="172"/>
      <c r="D80" s="53"/>
      <c r="E80" s="173"/>
      <c r="F80" s="174"/>
      <c r="G80" s="175"/>
      <c r="H80" s="175"/>
      <c r="I80" s="175"/>
      <c r="J80" s="176"/>
      <c r="K80" s="177"/>
      <c r="L80" s="53"/>
      <c r="M80" s="53"/>
      <c r="N80" s="53"/>
      <c r="O80" s="178"/>
      <c r="P80" s="178"/>
      <c r="Q80" s="43"/>
      <c r="R80" s="43"/>
      <c r="S80" s="193"/>
    </row>
    <row r="81" spans="2:19" x14ac:dyDescent="0.75">
      <c r="B81" s="43"/>
      <c r="C81" s="172"/>
      <c r="D81" s="53"/>
      <c r="E81" s="173"/>
      <c r="F81" s="174"/>
      <c r="G81" s="175"/>
      <c r="H81" s="175"/>
      <c r="I81" s="175"/>
      <c r="J81" s="176"/>
      <c r="K81" s="177"/>
      <c r="L81" s="53"/>
      <c r="M81" s="53"/>
      <c r="N81" s="53"/>
      <c r="O81" s="178"/>
      <c r="P81" s="178"/>
      <c r="Q81" s="43"/>
      <c r="R81" s="43"/>
      <c r="S81" s="193"/>
    </row>
    <row r="82" spans="2:19" x14ac:dyDescent="0.75">
      <c r="B82" s="43"/>
      <c r="C82" s="172"/>
      <c r="D82" s="53"/>
      <c r="E82" s="173"/>
      <c r="F82" s="174"/>
      <c r="G82" s="175"/>
      <c r="H82" s="175"/>
      <c r="I82" s="175"/>
      <c r="J82" s="176"/>
      <c r="K82" s="177"/>
      <c r="L82" s="53"/>
      <c r="M82" s="53"/>
      <c r="N82" s="53"/>
      <c r="O82" s="178"/>
      <c r="P82" s="178"/>
      <c r="Q82" s="43"/>
      <c r="R82" s="43"/>
      <c r="S82" s="193"/>
    </row>
    <row r="83" spans="2:19" x14ac:dyDescent="0.75">
      <c r="B83" s="43"/>
      <c r="C83" s="172"/>
      <c r="D83" s="53"/>
      <c r="E83" s="173"/>
      <c r="F83" s="174"/>
      <c r="G83" s="175"/>
      <c r="H83" s="175"/>
      <c r="I83" s="175"/>
      <c r="J83" s="176"/>
      <c r="K83" s="177"/>
      <c r="L83" s="53"/>
      <c r="M83" s="53"/>
      <c r="N83" s="53"/>
      <c r="O83" s="178"/>
      <c r="P83" s="178"/>
      <c r="Q83" s="43"/>
      <c r="R83" s="43"/>
      <c r="S83" s="193"/>
    </row>
    <row r="84" spans="2:19" x14ac:dyDescent="0.75">
      <c r="B84" s="43"/>
      <c r="C84" s="172"/>
      <c r="D84" s="53"/>
      <c r="E84" s="173"/>
      <c r="F84" s="174"/>
      <c r="G84" s="175"/>
      <c r="H84" s="175"/>
      <c r="I84" s="175"/>
      <c r="J84" s="176"/>
      <c r="K84" s="177"/>
      <c r="L84" s="53"/>
      <c r="M84" s="53"/>
      <c r="N84" s="53"/>
      <c r="O84" s="178"/>
      <c r="P84" s="178"/>
      <c r="Q84" s="43"/>
      <c r="R84" s="43"/>
      <c r="S84" s="193"/>
    </row>
    <row r="85" spans="2:19" x14ac:dyDescent="0.75">
      <c r="B85" s="43"/>
      <c r="C85" s="172"/>
      <c r="D85" s="53"/>
      <c r="E85" s="173"/>
      <c r="F85" s="174"/>
      <c r="G85" s="175"/>
      <c r="H85" s="175"/>
      <c r="I85" s="175"/>
      <c r="J85" s="176"/>
      <c r="K85" s="177"/>
      <c r="L85" s="53"/>
      <c r="M85" s="53"/>
      <c r="N85" s="53"/>
      <c r="O85" s="178"/>
      <c r="P85" s="178"/>
      <c r="Q85" s="43"/>
      <c r="R85" s="43"/>
      <c r="S85" s="193"/>
    </row>
    <row r="86" spans="2:19" x14ac:dyDescent="0.75">
      <c r="B86" s="43"/>
      <c r="C86" s="172"/>
      <c r="D86" s="53"/>
      <c r="E86" s="173"/>
      <c r="F86" s="174"/>
      <c r="G86" s="175"/>
      <c r="H86" s="175"/>
      <c r="I86" s="175"/>
      <c r="J86" s="176"/>
      <c r="K86" s="177"/>
      <c r="L86" s="53"/>
      <c r="M86" s="53"/>
      <c r="N86" s="53"/>
      <c r="O86" s="178"/>
      <c r="P86" s="178"/>
      <c r="Q86" s="43"/>
      <c r="R86" s="43"/>
      <c r="S86" s="193"/>
    </row>
    <row r="87" spans="2:19" x14ac:dyDescent="0.75">
      <c r="B87" s="43"/>
      <c r="C87" s="172"/>
      <c r="D87" s="53"/>
      <c r="E87" s="173"/>
      <c r="F87" s="174"/>
      <c r="G87" s="175"/>
      <c r="H87" s="175"/>
      <c r="I87" s="175"/>
      <c r="J87" s="176"/>
      <c r="K87" s="177"/>
      <c r="L87" s="53"/>
      <c r="M87" s="53"/>
      <c r="N87" s="53"/>
      <c r="O87" s="178"/>
      <c r="P87" s="178"/>
      <c r="Q87" s="43"/>
      <c r="R87" s="43"/>
      <c r="S87" s="193"/>
    </row>
    <row r="88" spans="2:19" x14ac:dyDescent="0.75">
      <c r="B88" s="43"/>
      <c r="C88" s="172"/>
      <c r="D88" s="53"/>
      <c r="E88" s="173"/>
      <c r="F88" s="174"/>
      <c r="G88" s="175"/>
      <c r="H88" s="175"/>
      <c r="I88" s="175"/>
      <c r="J88" s="176"/>
      <c r="K88" s="177"/>
      <c r="L88" s="53"/>
      <c r="M88" s="53"/>
      <c r="N88" s="53"/>
      <c r="O88" s="178"/>
      <c r="P88" s="178"/>
      <c r="Q88" s="43"/>
      <c r="R88" s="43"/>
      <c r="S88" s="193"/>
    </row>
    <row r="89" spans="2:19" x14ac:dyDescent="0.75">
      <c r="B89" s="43"/>
      <c r="C89" s="172"/>
      <c r="D89" s="53"/>
      <c r="E89" s="173"/>
      <c r="F89" s="174"/>
      <c r="G89" s="175"/>
      <c r="H89" s="175"/>
      <c r="I89" s="175"/>
      <c r="J89" s="176"/>
      <c r="K89" s="177"/>
      <c r="L89" s="53"/>
      <c r="M89" s="53"/>
      <c r="N89" s="53"/>
      <c r="O89" s="178"/>
      <c r="P89" s="178"/>
      <c r="Q89" s="43"/>
      <c r="R89" s="43"/>
      <c r="S89" s="193"/>
    </row>
    <row r="90" spans="2:19" x14ac:dyDescent="0.75">
      <c r="B90" s="43"/>
      <c r="C90" s="172"/>
      <c r="D90" s="53"/>
      <c r="E90" s="173"/>
      <c r="F90" s="174"/>
      <c r="G90" s="175"/>
      <c r="H90" s="175"/>
      <c r="I90" s="175"/>
      <c r="J90" s="176"/>
      <c r="K90" s="177"/>
      <c r="L90" s="53"/>
      <c r="M90" s="53"/>
      <c r="N90" s="53"/>
      <c r="O90" s="178"/>
      <c r="P90" s="178"/>
      <c r="Q90" s="43"/>
      <c r="R90" s="43"/>
      <c r="S90" s="193"/>
    </row>
    <row r="91" spans="2:19" x14ac:dyDescent="0.75">
      <c r="B91" s="43"/>
      <c r="C91" s="172"/>
      <c r="D91" s="53"/>
      <c r="E91" s="173"/>
      <c r="F91" s="174"/>
      <c r="G91" s="175"/>
      <c r="H91" s="175"/>
      <c r="I91" s="175"/>
      <c r="J91" s="176"/>
      <c r="K91" s="177"/>
      <c r="L91" s="53"/>
      <c r="M91" s="53"/>
      <c r="N91" s="53"/>
      <c r="O91" s="178"/>
      <c r="P91" s="178"/>
      <c r="Q91" s="43"/>
      <c r="R91" s="43"/>
      <c r="S91" s="193"/>
    </row>
    <row r="92" spans="2:19" x14ac:dyDescent="0.75">
      <c r="B92" s="43"/>
      <c r="C92" s="172"/>
      <c r="D92" s="53"/>
      <c r="E92" s="173"/>
      <c r="F92" s="174"/>
      <c r="G92" s="175"/>
      <c r="H92" s="175"/>
      <c r="I92" s="175"/>
      <c r="J92" s="176"/>
      <c r="K92" s="177"/>
      <c r="L92" s="53"/>
      <c r="M92" s="53"/>
      <c r="N92" s="53"/>
      <c r="O92" s="178"/>
      <c r="P92" s="178"/>
      <c r="Q92" s="43"/>
      <c r="R92" s="43"/>
      <c r="S92" s="193"/>
    </row>
    <row r="93" spans="2:19" x14ac:dyDescent="0.75">
      <c r="B93" s="43"/>
      <c r="C93" s="172"/>
      <c r="D93" s="53"/>
      <c r="E93" s="173"/>
      <c r="F93" s="174"/>
      <c r="G93" s="175"/>
      <c r="H93" s="175"/>
      <c r="I93" s="175"/>
      <c r="J93" s="176"/>
      <c r="K93" s="177"/>
      <c r="L93" s="53"/>
      <c r="M93" s="53"/>
      <c r="N93" s="53"/>
      <c r="O93" s="178"/>
      <c r="P93" s="178"/>
      <c r="Q93" s="43"/>
      <c r="R93" s="43"/>
      <c r="S93" s="193"/>
    </row>
    <row r="94" spans="2:19" x14ac:dyDescent="0.75">
      <c r="B94" s="43"/>
      <c r="C94" s="172"/>
      <c r="D94" s="53"/>
      <c r="E94" s="173"/>
      <c r="F94" s="174"/>
      <c r="G94" s="175"/>
      <c r="H94" s="175"/>
      <c r="I94" s="175"/>
      <c r="J94" s="176"/>
      <c r="K94" s="177"/>
      <c r="L94" s="53"/>
      <c r="M94" s="53"/>
      <c r="N94" s="53"/>
      <c r="O94" s="178"/>
      <c r="P94" s="178"/>
      <c r="Q94" s="43"/>
      <c r="R94" s="43"/>
      <c r="S94" s="193"/>
    </row>
    <row r="95" spans="2:19" x14ac:dyDescent="0.75">
      <c r="B95" s="43"/>
      <c r="C95" s="172"/>
      <c r="D95" s="53"/>
      <c r="E95" s="173"/>
      <c r="F95" s="174"/>
      <c r="G95" s="175"/>
      <c r="H95" s="175"/>
      <c r="I95" s="175"/>
      <c r="J95" s="176"/>
      <c r="K95" s="177"/>
      <c r="L95" s="53"/>
      <c r="M95" s="53"/>
      <c r="N95" s="53"/>
      <c r="O95" s="178"/>
      <c r="P95" s="178"/>
      <c r="Q95" s="43"/>
      <c r="R95" s="43"/>
      <c r="S95" s="193"/>
    </row>
    <row r="96" spans="2:19" x14ac:dyDescent="0.75">
      <c r="B96" s="43"/>
      <c r="C96" s="172"/>
      <c r="D96" s="53"/>
      <c r="E96" s="173"/>
      <c r="F96" s="174"/>
      <c r="G96" s="175"/>
      <c r="H96" s="175"/>
      <c r="I96" s="175"/>
      <c r="J96" s="176"/>
      <c r="K96" s="177"/>
      <c r="L96" s="53"/>
      <c r="M96" s="53"/>
      <c r="N96" s="53"/>
      <c r="O96" s="178"/>
      <c r="P96" s="178"/>
      <c r="Q96" s="43"/>
      <c r="R96" s="43"/>
      <c r="S96" s="193"/>
    </row>
    <row r="97" spans="2:19" x14ac:dyDescent="0.75">
      <c r="B97" s="43"/>
      <c r="C97" s="172"/>
      <c r="D97" s="53"/>
      <c r="E97" s="173"/>
      <c r="F97" s="174"/>
      <c r="G97" s="175"/>
      <c r="H97" s="175"/>
      <c r="I97" s="175"/>
      <c r="J97" s="176"/>
      <c r="K97" s="177"/>
      <c r="L97" s="53"/>
      <c r="M97" s="53"/>
      <c r="N97" s="53"/>
      <c r="O97" s="178"/>
      <c r="P97" s="178"/>
      <c r="Q97" s="43"/>
      <c r="R97" s="43"/>
      <c r="S97" s="193"/>
    </row>
    <row r="98" spans="2:19" x14ac:dyDescent="0.75">
      <c r="B98" s="43"/>
      <c r="C98" s="172"/>
      <c r="D98" s="53"/>
      <c r="E98" s="173"/>
      <c r="F98" s="174"/>
      <c r="G98" s="175"/>
      <c r="H98" s="175"/>
      <c r="I98" s="175"/>
      <c r="J98" s="176"/>
      <c r="K98" s="177"/>
      <c r="L98" s="53"/>
      <c r="M98" s="53"/>
      <c r="N98" s="53"/>
      <c r="O98" s="178"/>
      <c r="P98" s="178"/>
      <c r="Q98" s="43"/>
      <c r="R98" s="43"/>
      <c r="S98" s="193"/>
    </row>
    <row r="99" spans="2:19" x14ac:dyDescent="0.75">
      <c r="B99" s="43"/>
      <c r="C99" s="172"/>
      <c r="D99" s="53"/>
      <c r="E99" s="173"/>
      <c r="F99" s="174"/>
      <c r="G99" s="175"/>
      <c r="H99" s="175"/>
      <c r="I99" s="175"/>
      <c r="J99" s="176"/>
      <c r="K99" s="177"/>
      <c r="L99" s="53"/>
      <c r="M99" s="53"/>
      <c r="N99" s="53"/>
      <c r="O99" s="178"/>
      <c r="P99" s="178"/>
      <c r="Q99" s="43"/>
      <c r="R99" s="43"/>
      <c r="S99" s="193"/>
    </row>
    <row r="100" spans="2:19" x14ac:dyDescent="0.75">
      <c r="B100" s="43"/>
      <c r="C100" s="172"/>
      <c r="D100" s="53"/>
      <c r="E100" s="173"/>
      <c r="F100" s="174"/>
      <c r="G100" s="175"/>
      <c r="H100" s="175"/>
      <c r="I100" s="175"/>
      <c r="J100" s="176"/>
      <c r="K100" s="177"/>
      <c r="L100" s="53"/>
      <c r="M100" s="53"/>
      <c r="N100" s="53"/>
      <c r="O100" s="178"/>
      <c r="P100" s="178"/>
      <c r="Q100" s="43"/>
      <c r="R100" s="43"/>
      <c r="S100" s="193"/>
    </row>
    <row r="101" spans="2:19" x14ac:dyDescent="0.75">
      <c r="B101" s="43"/>
      <c r="C101" s="172"/>
      <c r="D101" s="53"/>
      <c r="E101" s="173"/>
      <c r="F101" s="174"/>
      <c r="G101" s="175"/>
      <c r="H101" s="175"/>
      <c r="I101" s="175"/>
      <c r="J101" s="176"/>
      <c r="K101" s="177"/>
      <c r="L101" s="53"/>
      <c r="M101" s="53"/>
      <c r="N101" s="53"/>
      <c r="O101" s="178"/>
      <c r="P101" s="178"/>
      <c r="Q101" s="43"/>
      <c r="R101" s="43"/>
      <c r="S101" s="193"/>
    </row>
    <row r="102" spans="2:19" x14ac:dyDescent="0.75">
      <c r="B102" s="43"/>
      <c r="C102" s="172"/>
      <c r="D102" s="53"/>
      <c r="E102" s="173"/>
      <c r="F102" s="174"/>
      <c r="G102" s="175"/>
      <c r="H102" s="175"/>
      <c r="I102" s="175"/>
      <c r="J102" s="176"/>
      <c r="K102" s="177"/>
      <c r="L102" s="53"/>
      <c r="M102" s="53"/>
      <c r="N102" s="53"/>
      <c r="O102" s="178"/>
      <c r="P102" s="178"/>
      <c r="Q102" s="43"/>
      <c r="R102" s="43"/>
      <c r="S102" s="193"/>
    </row>
    <row r="103" spans="2:19" x14ac:dyDescent="0.75">
      <c r="B103" s="43"/>
      <c r="C103" s="172"/>
      <c r="D103" s="53"/>
      <c r="E103" s="173"/>
      <c r="F103" s="174"/>
      <c r="G103" s="175"/>
      <c r="H103" s="175"/>
      <c r="I103" s="175"/>
      <c r="J103" s="176"/>
      <c r="K103" s="177"/>
      <c r="L103" s="53"/>
      <c r="M103" s="53"/>
      <c r="N103" s="53"/>
      <c r="O103" s="178"/>
      <c r="P103" s="178"/>
      <c r="Q103" s="43"/>
      <c r="R103" s="43"/>
      <c r="S103" s="193"/>
    </row>
    <row r="104" spans="2:19" x14ac:dyDescent="0.75">
      <c r="B104" s="43"/>
      <c r="C104" s="172"/>
      <c r="D104" s="53"/>
      <c r="E104" s="173"/>
      <c r="F104" s="174"/>
      <c r="G104" s="175"/>
      <c r="H104" s="175"/>
      <c r="I104" s="175"/>
      <c r="J104" s="176"/>
      <c r="K104" s="177"/>
      <c r="L104" s="53"/>
      <c r="M104" s="53"/>
      <c r="N104" s="53"/>
      <c r="O104" s="178"/>
      <c r="P104" s="178"/>
      <c r="Q104" s="43"/>
      <c r="R104" s="43"/>
      <c r="S104" s="193"/>
    </row>
    <row r="105" spans="2:19" x14ac:dyDescent="0.75">
      <c r="B105" s="43"/>
      <c r="C105" s="172"/>
      <c r="D105" s="53"/>
      <c r="E105" s="173"/>
      <c r="F105" s="174"/>
      <c r="G105" s="175"/>
      <c r="H105" s="175"/>
      <c r="I105" s="175"/>
      <c r="J105" s="176"/>
      <c r="K105" s="177"/>
      <c r="L105" s="53"/>
      <c r="M105" s="53"/>
      <c r="N105" s="53"/>
      <c r="O105" s="178"/>
      <c r="P105" s="178"/>
      <c r="Q105" s="43"/>
      <c r="R105" s="43"/>
      <c r="S105" s="193"/>
    </row>
    <row r="106" spans="2:19" x14ac:dyDescent="0.75">
      <c r="B106" s="43"/>
      <c r="C106" s="172"/>
      <c r="D106" s="53"/>
      <c r="E106" s="173"/>
      <c r="F106" s="174"/>
      <c r="G106" s="175"/>
      <c r="H106" s="175"/>
      <c r="I106" s="175"/>
      <c r="J106" s="176"/>
      <c r="K106" s="177"/>
      <c r="L106" s="53"/>
      <c r="M106" s="53"/>
      <c r="N106" s="53"/>
      <c r="O106" s="178"/>
      <c r="P106" s="178"/>
      <c r="Q106" s="43"/>
      <c r="R106" s="43"/>
      <c r="S106" s="193"/>
    </row>
    <row r="107" spans="2:19" x14ac:dyDescent="0.75">
      <c r="B107" s="43"/>
      <c r="C107" s="172"/>
      <c r="D107" s="53"/>
      <c r="E107" s="173"/>
      <c r="F107" s="174"/>
      <c r="G107" s="175"/>
      <c r="H107" s="175"/>
      <c r="I107" s="175"/>
      <c r="J107" s="176"/>
      <c r="K107" s="177"/>
      <c r="L107" s="53"/>
      <c r="M107" s="53"/>
      <c r="N107" s="53"/>
      <c r="O107" s="178"/>
      <c r="P107" s="178"/>
      <c r="Q107" s="43"/>
      <c r="R107" s="43"/>
      <c r="S107" s="193"/>
    </row>
    <row r="108" spans="2:19" x14ac:dyDescent="0.75">
      <c r="B108" s="43"/>
      <c r="C108" s="172"/>
      <c r="D108" s="53"/>
      <c r="E108" s="173"/>
      <c r="F108" s="174"/>
      <c r="G108" s="175"/>
      <c r="H108" s="175"/>
      <c r="I108" s="175"/>
      <c r="J108" s="176"/>
      <c r="K108" s="177"/>
      <c r="L108" s="53"/>
      <c r="M108" s="53"/>
      <c r="N108" s="53"/>
      <c r="O108" s="178"/>
      <c r="P108" s="178"/>
      <c r="Q108" s="43"/>
      <c r="R108" s="43"/>
      <c r="S108" s="193"/>
    </row>
    <row r="109" spans="2:19" x14ac:dyDescent="0.75">
      <c r="B109" s="43"/>
      <c r="C109" s="172"/>
      <c r="D109" s="53"/>
      <c r="E109" s="173"/>
      <c r="F109" s="174"/>
      <c r="G109" s="175"/>
      <c r="H109" s="175"/>
      <c r="I109" s="175"/>
      <c r="J109" s="176"/>
      <c r="K109" s="177"/>
      <c r="L109" s="53"/>
      <c r="M109" s="53"/>
      <c r="N109" s="53"/>
      <c r="O109" s="178"/>
      <c r="P109" s="178"/>
      <c r="Q109" s="43"/>
      <c r="R109" s="43"/>
      <c r="S109" s="193"/>
    </row>
    <row r="110" spans="2:19" x14ac:dyDescent="0.75">
      <c r="B110" s="43"/>
      <c r="C110" s="172"/>
      <c r="D110" s="53"/>
      <c r="E110" s="173"/>
      <c r="F110" s="174"/>
      <c r="G110" s="175"/>
      <c r="H110" s="175"/>
      <c r="I110" s="175"/>
      <c r="J110" s="176"/>
      <c r="K110" s="177"/>
      <c r="L110" s="53"/>
      <c r="M110" s="53"/>
      <c r="N110" s="53"/>
      <c r="O110" s="178"/>
      <c r="P110" s="178"/>
      <c r="Q110" s="43"/>
      <c r="R110" s="43"/>
      <c r="S110" s="193"/>
    </row>
    <row r="111" spans="2:19" x14ac:dyDescent="0.75">
      <c r="B111" s="43"/>
      <c r="C111" s="172"/>
      <c r="D111" s="53"/>
      <c r="E111" s="173"/>
      <c r="F111" s="174"/>
      <c r="G111" s="175"/>
      <c r="H111" s="175"/>
      <c r="I111" s="175"/>
      <c r="J111" s="176"/>
      <c r="K111" s="177"/>
      <c r="L111" s="53"/>
      <c r="M111" s="53"/>
      <c r="N111" s="53"/>
      <c r="O111" s="178"/>
      <c r="P111" s="178"/>
      <c r="Q111" s="43"/>
      <c r="R111" s="43"/>
      <c r="S111" s="193"/>
    </row>
    <row r="112" spans="2:19" x14ac:dyDescent="0.75">
      <c r="B112" s="43"/>
      <c r="C112" s="172"/>
      <c r="D112" s="53"/>
      <c r="E112" s="173"/>
      <c r="F112" s="174"/>
      <c r="G112" s="175"/>
      <c r="H112" s="175"/>
      <c r="I112" s="175"/>
      <c r="J112" s="176"/>
      <c r="K112" s="177"/>
      <c r="L112" s="53"/>
      <c r="M112" s="53"/>
      <c r="N112" s="53"/>
      <c r="O112" s="178"/>
      <c r="P112" s="178"/>
      <c r="Q112" s="43"/>
      <c r="R112" s="43"/>
      <c r="S112" s="193"/>
    </row>
    <row r="113" spans="2:19" x14ac:dyDescent="0.75">
      <c r="B113" s="43"/>
      <c r="C113" s="172"/>
      <c r="D113" s="53"/>
      <c r="E113" s="173"/>
      <c r="F113" s="174"/>
      <c r="G113" s="175"/>
      <c r="H113" s="175"/>
      <c r="I113" s="175"/>
      <c r="J113" s="176"/>
      <c r="K113" s="177"/>
      <c r="L113" s="53"/>
      <c r="M113" s="53"/>
      <c r="N113" s="53"/>
      <c r="O113" s="178"/>
      <c r="P113" s="178"/>
      <c r="Q113" s="43"/>
      <c r="R113" s="43"/>
      <c r="S113" s="193"/>
    </row>
    <row r="114" spans="2:19" x14ac:dyDescent="0.75">
      <c r="B114" s="43"/>
      <c r="C114" s="172"/>
      <c r="D114" s="53"/>
      <c r="E114" s="173"/>
      <c r="F114" s="174"/>
      <c r="G114" s="175"/>
      <c r="H114" s="175"/>
      <c r="I114" s="175"/>
      <c r="J114" s="176"/>
      <c r="K114" s="177"/>
      <c r="L114" s="53"/>
      <c r="M114" s="53"/>
      <c r="N114" s="53"/>
      <c r="O114" s="178"/>
      <c r="P114" s="178"/>
      <c r="Q114" s="43"/>
      <c r="R114" s="43"/>
      <c r="S114" s="193"/>
    </row>
    <row r="115" spans="2:19" x14ac:dyDescent="0.75">
      <c r="B115" s="43"/>
      <c r="C115" s="172"/>
      <c r="D115" s="53"/>
      <c r="E115" s="173"/>
      <c r="F115" s="174"/>
      <c r="G115" s="175"/>
      <c r="H115" s="175"/>
      <c r="I115" s="175"/>
      <c r="J115" s="176"/>
      <c r="K115" s="177"/>
      <c r="L115" s="53"/>
      <c r="M115" s="53"/>
      <c r="N115" s="53"/>
      <c r="O115" s="178"/>
      <c r="P115" s="178"/>
      <c r="Q115" s="43"/>
      <c r="R115" s="43"/>
      <c r="S115" s="193"/>
    </row>
    <row r="116" spans="2:19" x14ac:dyDescent="0.75">
      <c r="B116" s="43"/>
      <c r="C116" s="172"/>
      <c r="D116" s="53"/>
      <c r="E116" s="173"/>
      <c r="F116" s="174"/>
      <c r="G116" s="175"/>
      <c r="H116" s="175"/>
      <c r="I116" s="175"/>
      <c r="J116" s="176"/>
      <c r="K116" s="177"/>
      <c r="L116" s="53"/>
      <c r="M116" s="53"/>
      <c r="N116" s="53"/>
      <c r="O116" s="178"/>
      <c r="P116" s="178"/>
      <c r="Q116" s="43"/>
      <c r="R116" s="43"/>
      <c r="S116" s="193"/>
    </row>
    <row r="117" spans="2:19" x14ac:dyDescent="0.75">
      <c r="B117" s="43"/>
      <c r="C117" s="172"/>
      <c r="D117" s="53"/>
      <c r="E117" s="173"/>
      <c r="F117" s="174"/>
      <c r="G117" s="175"/>
      <c r="H117" s="175"/>
      <c r="I117" s="175"/>
      <c r="J117" s="176"/>
      <c r="K117" s="177"/>
      <c r="L117" s="53"/>
      <c r="M117" s="53"/>
      <c r="N117" s="53"/>
      <c r="O117" s="178"/>
      <c r="P117" s="178"/>
      <c r="Q117" s="43"/>
      <c r="R117" s="43"/>
      <c r="S117" s="193"/>
    </row>
    <row r="118" spans="2:19" x14ac:dyDescent="0.75">
      <c r="B118" s="43"/>
      <c r="C118" s="172"/>
      <c r="D118" s="53"/>
      <c r="E118" s="173"/>
      <c r="F118" s="174"/>
      <c r="G118" s="175"/>
      <c r="H118" s="175"/>
      <c r="I118" s="175"/>
      <c r="J118" s="176"/>
      <c r="K118" s="177"/>
      <c r="L118" s="53"/>
      <c r="M118" s="53"/>
      <c r="N118" s="53"/>
      <c r="O118" s="178"/>
      <c r="P118" s="178"/>
      <c r="Q118" s="43"/>
      <c r="R118" s="43"/>
      <c r="S118" s="193"/>
    </row>
    <row r="119" spans="2:19" x14ac:dyDescent="0.75">
      <c r="B119" s="43"/>
      <c r="C119" s="172"/>
      <c r="D119" s="53"/>
      <c r="E119" s="173"/>
      <c r="F119" s="174"/>
      <c r="G119" s="175"/>
      <c r="H119" s="175"/>
      <c r="I119" s="175"/>
      <c r="J119" s="176"/>
      <c r="K119" s="177"/>
      <c r="L119" s="53"/>
      <c r="M119" s="53"/>
      <c r="N119" s="53"/>
      <c r="O119" s="178"/>
      <c r="P119" s="178"/>
      <c r="Q119" s="43"/>
      <c r="R119" s="43"/>
      <c r="S119" s="193"/>
    </row>
    <row r="120" spans="2:19" x14ac:dyDescent="0.75">
      <c r="B120" s="43"/>
      <c r="C120" s="172"/>
      <c r="D120" s="53"/>
      <c r="E120" s="173"/>
      <c r="F120" s="174"/>
      <c r="G120" s="175"/>
      <c r="H120" s="175"/>
      <c r="I120" s="175"/>
      <c r="J120" s="176"/>
      <c r="K120" s="177"/>
      <c r="L120" s="53"/>
      <c r="M120" s="53"/>
      <c r="N120" s="53"/>
      <c r="O120" s="178"/>
      <c r="P120" s="178"/>
      <c r="Q120" s="43"/>
      <c r="R120" s="43"/>
      <c r="S120" s="193"/>
    </row>
    <row r="121" spans="2:19" x14ac:dyDescent="0.75">
      <c r="B121" s="43"/>
      <c r="C121" s="172"/>
      <c r="D121" s="53"/>
      <c r="E121" s="173"/>
      <c r="F121" s="174"/>
      <c r="G121" s="175"/>
      <c r="H121" s="175"/>
      <c r="I121" s="175"/>
      <c r="J121" s="176"/>
      <c r="K121" s="177"/>
      <c r="L121" s="53"/>
      <c r="M121" s="53"/>
      <c r="N121" s="53"/>
      <c r="O121" s="178"/>
      <c r="P121" s="178"/>
      <c r="Q121" s="43"/>
      <c r="R121" s="43"/>
      <c r="S121" s="193"/>
    </row>
    <row r="122" spans="2:19" x14ac:dyDescent="0.75">
      <c r="B122" s="43"/>
      <c r="C122" s="172"/>
      <c r="D122" s="53"/>
      <c r="E122" s="173"/>
      <c r="F122" s="174"/>
      <c r="G122" s="175"/>
      <c r="H122" s="175"/>
      <c r="I122" s="175"/>
      <c r="J122" s="176"/>
      <c r="K122" s="177"/>
      <c r="L122" s="53"/>
      <c r="M122" s="53"/>
      <c r="N122" s="53"/>
      <c r="O122" s="178"/>
      <c r="P122" s="178"/>
      <c r="Q122" s="43"/>
      <c r="R122" s="43"/>
      <c r="S122" s="193"/>
    </row>
    <row r="123" spans="2:19" x14ac:dyDescent="0.75">
      <c r="B123" s="43"/>
      <c r="C123" s="172"/>
      <c r="D123" s="53"/>
      <c r="E123" s="173"/>
      <c r="F123" s="174"/>
      <c r="G123" s="175"/>
      <c r="H123" s="175"/>
      <c r="I123" s="175"/>
      <c r="J123" s="176"/>
      <c r="K123" s="177"/>
      <c r="L123" s="53"/>
      <c r="M123" s="53"/>
      <c r="N123" s="53"/>
      <c r="O123" s="178"/>
      <c r="P123" s="178"/>
      <c r="Q123" s="43"/>
      <c r="R123" s="43"/>
      <c r="S123" s="193"/>
    </row>
    <row r="124" spans="2:19" x14ac:dyDescent="0.75">
      <c r="B124" s="43"/>
      <c r="C124" s="172"/>
      <c r="D124" s="53"/>
      <c r="E124" s="173"/>
      <c r="F124" s="174"/>
      <c r="G124" s="175"/>
      <c r="H124" s="175"/>
      <c r="I124" s="175"/>
      <c r="J124" s="176"/>
      <c r="K124" s="177"/>
      <c r="L124" s="53"/>
      <c r="M124" s="53"/>
      <c r="N124" s="53"/>
      <c r="O124" s="178"/>
      <c r="P124" s="178"/>
      <c r="Q124" s="43"/>
      <c r="R124" s="43"/>
      <c r="S124" s="193"/>
    </row>
    <row r="125" spans="2:19" x14ac:dyDescent="0.75">
      <c r="B125" s="43"/>
      <c r="C125" s="172"/>
      <c r="D125" s="53"/>
      <c r="E125" s="173"/>
      <c r="F125" s="174"/>
      <c r="G125" s="175"/>
      <c r="H125" s="175"/>
      <c r="I125" s="175"/>
      <c r="J125" s="176"/>
      <c r="K125" s="177"/>
      <c r="L125" s="53"/>
      <c r="M125" s="53"/>
      <c r="N125" s="53"/>
      <c r="O125" s="178"/>
      <c r="P125" s="178"/>
      <c r="Q125" s="43"/>
      <c r="R125" s="43"/>
      <c r="S125" s="193"/>
    </row>
    <row r="126" spans="2:19" x14ac:dyDescent="0.75">
      <c r="B126" s="43"/>
      <c r="C126" s="172"/>
      <c r="D126" s="53"/>
      <c r="E126" s="173"/>
      <c r="F126" s="174"/>
      <c r="G126" s="175"/>
      <c r="H126" s="175"/>
      <c r="I126" s="175"/>
      <c r="J126" s="176"/>
      <c r="K126" s="177"/>
      <c r="L126" s="53"/>
      <c r="M126" s="53"/>
      <c r="N126" s="53"/>
      <c r="O126" s="178"/>
      <c r="P126" s="178"/>
      <c r="Q126" s="43"/>
      <c r="R126" s="43"/>
      <c r="S126" s="193"/>
    </row>
    <row r="127" spans="2:19" x14ac:dyDescent="0.75">
      <c r="B127" s="43"/>
      <c r="C127" s="172"/>
      <c r="D127" s="53"/>
      <c r="E127" s="173"/>
      <c r="F127" s="174"/>
      <c r="G127" s="175"/>
      <c r="H127" s="175"/>
      <c r="I127" s="175"/>
      <c r="J127" s="176"/>
      <c r="K127" s="177"/>
      <c r="L127" s="53"/>
      <c r="M127" s="53"/>
      <c r="N127" s="53"/>
      <c r="O127" s="178"/>
      <c r="P127" s="178"/>
      <c r="Q127" s="43"/>
      <c r="R127" s="43"/>
      <c r="S127" s="193"/>
    </row>
    <row r="128" spans="2:19" x14ac:dyDescent="0.75">
      <c r="B128" s="43"/>
      <c r="C128" s="172"/>
      <c r="D128" s="53"/>
      <c r="E128" s="173"/>
      <c r="F128" s="174"/>
      <c r="G128" s="175"/>
      <c r="H128" s="175"/>
      <c r="I128" s="175"/>
      <c r="J128" s="176"/>
      <c r="K128" s="177"/>
      <c r="L128" s="53"/>
      <c r="M128" s="53"/>
      <c r="N128" s="53"/>
      <c r="O128" s="178"/>
      <c r="P128" s="178"/>
      <c r="Q128" s="43"/>
      <c r="R128" s="43"/>
      <c r="S128" s="193"/>
    </row>
    <row r="129" spans="2:19" x14ac:dyDescent="0.75">
      <c r="B129" s="43"/>
      <c r="C129" s="172"/>
      <c r="D129" s="53"/>
      <c r="E129" s="173"/>
      <c r="F129" s="174"/>
      <c r="G129" s="175"/>
      <c r="H129" s="175"/>
      <c r="I129" s="175"/>
      <c r="J129" s="176"/>
      <c r="K129" s="177"/>
      <c r="L129" s="53"/>
      <c r="M129" s="53"/>
      <c r="N129" s="53"/>
      <c r="O129" s="178"/>
      <c r="P129" s="178"/>
      <c r="Q129" s="43"/>
      <c r="R129" s="43"/>
      <c r="S129" s="193"/>
    </row>
    <row r="130" spans="2:19" x14ac:dyDescent="0.75">
      <c r="B130" s="43"/>
      <c r="C130" s="172"/>
      <c r="D130" s="53"/>
      <c r="E130" s="173"/>
      <c r="F130" s="174"/>
      <c r="G130" s="175"/>
      <c r="H130" s="175"/>
      <c r="I130" s="175"/>
      <c r="J130" s="176"/>
      <c r="K130" s="177"/>
      <c r="L130" s="53"/>
      <c r="M130" s="53"/>
      <c r="N130" s="53"/>
      <c r="O130" s="178"/>
      <c r="P130" s="178"/>
      <c r="Q130" s="43"/>
      <c r="R130" s="43"/>
      <c r="S130" s="193"/>
    </row>
    <row r="131" spans="2:19" x14ac:dyDescent="0.75">
      <c r="B131" s="43"/>
      <c r="C131" s="172"/>
      <c r="D131" s="53"/>
      <c r="E131" s="173"/>
      <c r="F131" s="174"/>
      <c r="G131" s="175"/>
      <c r="H131" s="175"/>
      <c r="I131" s="175"/>
      <c r="J131" s="176"/>
      <c r="K131" s="177"/>
      <c r="L131" s="53"/>
      <c r="M131" s="53"/>
      <c r="N131" s="53"/>
      <c r="O131" s="178"/>
      <c r="P131" s="178"/>
      <c r="Q131" s="43"/>
      <c r="R131" s="43"/>
      <c r="S131" s="193"/>
    </row>
    <row r="132" spans="2:19" x14ac:dyDescent="0.75">
      <c r="B132" s="43"/>
      <c r="C132" s="172"/>
      <c r="D132" s="53"/>
      <c r="E132" s="173"/>
      <c r="F132" s="174"/>
      <c r="G132" s="175"/>
      <c r="H132" s="175"/>
      <c r="I132" s="175"/>
      <c r="J132" s="176"/>
      <c r="K132" s="177"/>
      <c r="L132" s="53"/>
      <c r="M132" s="53"/>
      <c r="N132" s="53"/>
      <c r="O132" s="178"/>
      <c r="P132" s="178"/>
      <c r="Q132" s="43"/>
      <c r="R132" s="43"/>
      <c r="S132" s="193"/>
    </row>
    <row r="133" spans="2:19" x14ac:dyDescent="0.75">
      <c r="B133" s="43"/>
      <c r="C133" s="172"/>
      <c r="D133" s="53"/>
      <c r="E133" s="173"/>
      <c r="F133" s="174"/>
      <c r="G133" s="175"/>
      <c r="H133" s="175"/>
      <c r="I133" s="175"/>
      <c r="J133" s="176"/>
      <c r="K133" s="177"/>
      <c r="L133" s="53"/>
      <c r="M133" s="53"/>
      <c r="N133" s="53"/>
      <c r="O133" s="178"/>
      <c r="P133" s="178"/>
      <c r="Q133" s="43"/>
      <c r="R133" s="43"/>
      <c r="S133" s="193"/>
    </row>
    <row r="134" spans="2:19" x14ac:dyDescent="0.75">
      <c r="B134" s="43"/>
      <c r="C134" s="172"/>
      <c r="D134" s="53"/>
      <c r="E134" s="173"/>
      <c r="F134" s="174"/>
      <c r="G134" s="175"/>
      <c r="H134" s="175"/>
      <c r="I134" s="175"/>
      <c r="J134" s="176"/>
      <c r="K134" s="177"/>
      <c r="L134" s="53"/>
      <c r="M134" s="53"/>
      <c r="N134" s="53"/>
      <c r="O134" s="178"/>
      <c r="P134" s="178"/>
      <c r="Q134" s="43"/>
      <c r="R134" s="43"/>
      <c r="S134" s="193"/>
    </row>
    <row r="135" spans="2:19" x14ac:dyDescent="0.75">
      <c r="B135" s="43"/>
      <c r="C135" s="172"/>
      <c r="D135" s="53"/>
      <c r="E135" s="173"/>
      <c r="F135" s="174"/>
      <c r="G135" s="175"/>
      <c r="H135" s="175"/>
      <c r="I135" s="175"/>
      <c r="J135" s="176"/>
      <c r="K135" s="177"/>
      <c r="L135" s="53"/>
      <c r="M135" s="53"/>
      <c r="N135" s="53"/>
      <c r="O135" s="178"/>
      <c r="P135" s="178"/>
      <c r="Q135" s="43"/>
      <c r="R135" s="43"/>
      <c r="S135" s="193"/>
    </row>
    <row r="136" spans="2:19" x14ac:dyDescent="0.75">
      <c r="B136" s="43"/>
      <c r="C136" s="172"/>
      <c r="D136" s="53"/>
      <c r="E136" s="173"/>
      <c r="F136" s="174"/>
      <c r="G136" s="175"/>
      <c r="H136" s="175"/>
      <c r="I136" s="175"/>
      <c r="J136" s="176"/>
      <c r="K136" s="177"/>
      <c r="L136" s="53"/>
      <c r="M136" s="53"/>
      <c r="N136" s="53"/>
      <c r="O136" s="178"/>
      <c r="P136" s="178"/>
      <c r="Q136" s="43"/>
      <c r="R136" s="43"/>
      <c r="S136" s="193"/>
    </row>
    <row r="137" spans="2:19" x14ac:dyDescent="0.75">
      <c r="B137" s="43"/>
      <c r="C137" s="172"/>
      <c r="D137" s="53"/>
      <c r="E137" s="173"/>
      <c r="F137" s="174"/>
      <c r="G137" s="175"/>
      <c r="H137" s="175"/>
      <c r="I137" s="175"/>
      <c r="J137" s="176"/>
      <c r="K137" s="177"/>
      <c r="L137" s="53"/>
      <c r="M137" s="53"/>
      <c r="N137" s="53"/>
      <c r="O137" s="178"/>
      <c r="P137" s="178"/>
      <c r="Q137" s="43"/>
      <c r="R137" s="43"/>
      <c r="S137" s="193"/>
    </row>
    <row r="138" spans="2:19" x14ac:dyDescent="0.75">
      <c r="B138" s="43"/>
      <c r="C138" s="172"/>
      <c r="D138" s="53"/>
      <c r="E138" s="173"/>
      <c r="F138" s="174"/>
      <c r="G138" s="175"/>
      <c r="H138" s="175"/>
      <c r="I138" s="175"/>
      <c r="J138" s="176"/>
      <c r="K138" s="177"/>
      <c r="L138" s="53"/>
      <c r="M138" s="53"/>
      <c r="N138" s="53"/>
      <c r="O138" s="178"/>
      <c r="P138" s="178"/>
      <c r="Q138" s="43"/>
      <c r="R138" s="43"/>
      <c r="S138" s="193"/>
    </row>
    <row r="139" spans="2:19" x14ac:dyDescent="0.75">
      <c r="B139" s="43"/>
      <c r="C139" s="172"/>
      <c r="D139" s="53"/>
      <c r="E139" s="173"/>
      <c r="F139" s="174"/>
      <c r="G139" s="175"/>
      <c r="H139" s="175"/>
      <c r="I139" s="175"/>
      <c r="J139" s="176"/>
      <c r="K139" s="177"/>
      <c r="L139" s="53"/>
      <c r="M139" s="53"/>
      <c r="N139" s="53"/>
      <c r="O139" s="178"/>
      <c r="P139" s="178"/>
      <c r="Q139" s="43"/>
      <c r="R139" s="43"/>
      <c r="S139" s="193"/>
    </row>
    <row r="140" spans="2:19" x14ac:dyDescent="0.75">
      <c r="B140" s="43"/>
      <c r="C140" s="172"/>
      <c r="D140" s="53"/>
      <c r="E140" s="173"/>
      <c r="F140" s="174"/>
      <c r="G140" s="175"/>
      <c r="H140" s="175"/>
      <c r="I140" s="175"/>
      <c r="J140" s="176"/>
      <c r="K140" s="177"/>
      <c r="L140" s="53"/>
      <c r="M140" s="53"/>
      <c r="N140" s="53"/>
      <c r="O140" s="178"/>
      <c r="P140" s="178"/>
      <c r="Q140" s="43"/>
      <c r="R140" s="43"/>
      <c r="S140" s="193"/>
    </row>
    <row r="141" spans="2:19" x14ac:dyDescent="0.75">
      <c r="B141" s="43"/>
      <c r="C141" s="172"/>
      <c r="D141" s="53"/>
      <c r="E141" s="173"/>
      <c r="F141" s="174"/>
      <c r="G141" s="175"/>
      <c r="H141" s="175"/>
      <c r="I141" s="175"/>
      <c r="J141" s="176"/>
      <c r="K141" s="177"/>
      <c r="L141" s="53"/>
      <c r="M141" s="53"/>
      <c r="N141" s="53"/>
      <c r="O141" s="178"/>
      <c r="P141" s="178"/>
      <c r="Q141" s="43"/>
      <c r="R141" s="43"/>
      <c r="S141" s="193"/>
    </row>
    <row r="142" spans="2:19" x14ac:dyDescent="0.75">
      <c r="B142" s="43"/>
      <c r="C142" s="172"/>
      <c r="D142" s="53"/>
      <c r="E142" s="173"/>
      <c r="F142" s="174"/>
      <c r="G142" s="175"/>
      <c r="H142" s="175"/>
      <c r="I142" s="175"/>
      <c r="J142" s="176"/>
      <c r="K142" s="177"/>
      <c r="L142" s="53"/>
      <c r="M142" s="53"/>
      <c r="N142" s="53"/>
      <c r="O142" s="178"/>
      <c r="P142" s="178"/>
      <c r="Q142" s="43"/>
      <c r="R142" s="43"/>
      <c r="S142" s="193"/>
    </row>
    <row r="143" spans="2:19" x14ac:dyDescent="0.75">
      <c r="B143" s="43"/>
      <c r="C143" s="172"/>
      <c r="D143" s="53"/>
      <c r="E143" s="173"/>
      <c r="F143" s="174"/>
      <c r="G143" s="175"/>
      <c r="H143" s="175"/>
      <c r="I143" s="175"/>
      <c r="J143" s="176"/>
      <c r="K143" s="177"/>
      <c r="L143" s="53"/>
      <c r="M143" s="53"/>
      <c r="N143" s="53"/>
      <c r="O143" s="178"/>
      <c r="P143" s="178"/>
      <c r="Q143" s="43"/>
      <c r="R143" s="43"/>
      <c r="S143" s="193"/>
    </row>
    <row r="144" spans="2:19" x14ac:dyDescent="0.75">
      <c r="B144" s="43"/>
      <c r="C144" s="172"/>
      <c r="D144" s="53"/>
      <c r="E144" s="173"/>
      <c r="F144" s="174"/>
      <c r="G144" s="175"/>
      <c r="H144" s="175"/>
      <c r="I144" s="175"/>
      <c r="J144" s="176"/>
      <c r="K144" s="177"/>
      <c r="L144" s="53"/>
      <c r="M144" s="53"/>
      <c r="N144" s="53"/>
      <c r="O144" s="178"/>
      <c r="P144" s="178"/>
      <c r="Q144" s="43"/>
      <c r="R144" s="43"/>
      <c r="S144" s="193"/>
    </row>
    <row r="145" spans="2:19" x14ac:dyDescent="0.75">
      <c r="B145" s="43"/>
      <c r="C145" s="172"/>
      <c r="D145" s="53"/>
      <c r="E145" s="173"/>
      <c r="F145" s="174"/>
      <c r="G145" s="175"/>
      <c r="H145" s="175"/>
      <c r="I145" s="175"/>
      <c r="J145" s="176"/>
      <c r="K145" s="177"/>
      <c r="L145" s="53"/>
      <c r="M145" s="53"/>
      <c r="N145" s="53"/>
      <c r="O145" s="178"/>
      <c r="P145" s="178"/>
      <c r="Q145" s="43"/>
      <c r="R145" s="43"/>
      <c r="S145" s="193"/>
    </row>
    <row r="146" spans="2:19" x14ac:dyDescent="0.75">
      <c r="B146" s="43"/>
      <c r="C146" s="172"/>
      <c r="D146" s="53"/>
      <c r="E146" s="173"/>
      <c r="F146" s="174"/>
      <c r="G146" s="175"/>
      <c r="H146" s="175"/>
      <c r="I146" s="175"/>
      <c r="J146" s="176"/>
      <c r="K146" s="177"/>
      <c r="L146" s="53"/>
      <c r="M146" s="53"/>
      <c r="N146" s="53"/>
      <c r="O146" s="178"/>
      <c r="P146" s="178"/>
      <c r="Q146" s="43"/>
      <c r="R146" s="43"/>
      <c r="S146" s="193"/>
    </row>
    <row r="147" spans="2:19" x14ac:dyDescent="0.75">
      <c r="B147" s="43"/>
      <c r="C147" s="172"/>
      <c r="D147" s="53"/>
      <c r="E147" s="173"/>
      <c r="F147" s="174"/>
      <c r="G147" s="175"/>
      <c r="H147" s="175"/>
      <c r="I147" s="175"/>
      <c r="J147" s="176"/>
      <c r="K147" s="177"/>
      <c r="L147" s="53"/>
      <c r="M147" s="53"/>
      <c r="N147" s="53"/>
      <c r="O147" s="178"/>
      <c r="P147" s="178"/>
      <c r="Q147" s="43"/>
      <c r="R147" s="43"/>
      <c r="S147" s="193"/>
    </row>
    <row r="148" spans="2:19" x14ac:dyDescent="0.75">
      <c r="B148" s="43"/>
      <c r="C148" s="172"/>
      <c r="D148" s="53"/>
      <c r="E148" s="173"/>
      <c r="F148" s="174"/>
      <c r="G148" s="175"/>
      <c r="H148" s="175"/>
      <c r="I148" s="175"/>
      <c r="J148" s="176"/>
      <c r="K148" s="177"/>
      <c r="L148" s="53"/>
      <c r="M148" s="53"/>
      <c r="N148" s="53"/>
      <c r="O148" s="178"/>
      <c r="P148" s="178"/>
      <c r="Q148" s="43"/>
      <c r="R148" s="43"/>
      <c r="S148" s="193"/>
    </row>
    <row r="149" spans="2:19" x14ac:dyDescent="0.75">
      <c r="B149" s="43"/>
      <c r="C149" s="172"/>
      <c r="D149" s="53"/>
      <c r="E149" s="173"/>
      <c r="F149" s="174"/>
      <c r="G149" s="175"/>
      <c r="H149" s="175"/>
      <c r="I149" s="175"/>
      <c r="J149" s="176"/>
      <c r="K149" s="177"/>
      <c r="L149" s="53"/>
      <c r="M149" s="53"/>
      <c r="N149" s="53"/>
      <c r="O149" s="178"/>
      <c r="P149" s="178"/>
      <c r="Q149" s="43"/>
      <c r="R149" s="43"/>
      <c r="S149" s="193"/>
    </row>
    <row r="150" spans="2:19" x14ac:dyDescent="0.75">
      <c r="B150" s="43"/>
      <c r="C150" s="172"/>
      <c r="D150" s="53"/>
      <c r="E150" s="173"/>
      <c r="F150" s="174"/>
      <c r="G150" s="175"/>
      <c r="H150" s="175"/>
      <c r="I150" s="175"/>
      <c r="J150" s="176"/>
      <c r="K150" s="177"/>
      <c r="L150" s="53"/>
      <c r="M150" s="53"/>
      <c r="N150" s="53"/>
      <c r="O150" s="178"/>
      <c r="P150" s="178"/>
      <c r="Q150" s="43"/>
      <c r="R150" s="43"/>
      <c r="S150" s="193"/>
    </row>
    <row r="151" spans="2:19" x14ac:dyDescent="0.75">
      <c r="B151" s="43"/>
      <c r="C151" s="172"/>
      <c r="D151" s="53"/>
      <c r="E151" s="173"/>
      <c r="F151" s="174"/>
      <c r="G151" s="175"/>
      <c r="H151" s="175"/>
      <c r="I151" s="175"/>
      <c r="J151" s="176"/>
      <c r="K151" s="177"/>
      <c r="L151" s="53"/>
      <c r="M151" s="53"/>
      <c r="N151" s="53"/>
      <c r="O151" s="178"/>
      <c r="P151" s="178"/>
      <c r="Q151" s="43"/>
      <c r="R151" s="43"/>
      <c r="S151" s="193"/>
    </row>
    <row r="152" spans="2:19" x14ac:dyDescent="0.75">
      <c r="B152" s="43"/>
      <c r="C152" s="172"/>
      <c r="D152" s="53"/>
      <c r="E152" s="173"/>
      <c r="F152" s="174"/>
      <c r="G152" s="175"/>
      <c r="H152" s="175"/>
      <c r="I152" s="175"/>
      <c r="J152" s="176"/>
      <c r="K152" s="177"/>
      <c r="L152" s="53"/>
      <c r="M152" s="53"/>
      <c r="N152" s="53"/>
      <c r="O152" s="178"/>
      <c r="P152" s="178"/>
      <c r="Q152" s="43"/>
      <c r="R152" s="43"/>
      <c r="S152" s="193"/>
    </row>
    <row r="153" spans="2:19" x14ac:dyDescent="0.75">
      <c r="B153" s="43"/>
      <c r="C153" s="172"/>
      <c r="D153" s="53"/>
      <c r="E153" s="173"/>
      <c r="F153" s="174"/>
      <c r="G153" s="175"/>
      <c r="H153" s="175"/>
      <c r="I153" s="175"/>
      <c r="J153" s="176"/>
      <c r="K153" s="177"/>
      <c r="L153" s="53"/>
      <c r="M153" s="53"/>
      <c r="N153" s="53"/>
      <c r="O153" s="178"/>
      <c r="P153" s="178"/>
      <c r="Q153" s="43"/>
      <c r="R153" s="43"/>
      <c r="S153" s="193"/>
    </row>
    <row r="154" spans="2:19" x14ac:dyDescent="0.75">
      <c r="B154" s="43"/>
      <c r="C154" s="172"/>
      <c r="D154" s="53"/>
      <c r="E154" s="173"/>
      <c r="F154" s="174"/>
      <c r="G154" s="175"/>
      <c r="H154" s="175"/>
      <c r="I154" s="175"/>
      <c r="J154" s="176"/>
      <c r="K154" s="177"/>
      <c r="L154" s="53"/>
      <c r="M154" s="53"/>
      <c r="N154" s="53"/>
      <c r="O154" s="178"/>
      <c r="P154" s="178"/>
      <c r="Q154" s="43"/>
      <c r="R154" s="43"/>
      <c r="S154" s="193"/>
    </row>
    <row r="155" spans="2:19" x14ac:dyDescent="0.75">
      <c r="B155" s="43"/>
      <c r="C155" s="172"/>
      <c r="D155" s="53"/>
      <c r="E155" s="173"/>
      <c r="F155" s="174"/>
      <c r="G155" s="175"/>
      <c r="H155" s="175"/>
      <c r="I155" s="175"/>
      <c r="J155" s="176"/>
      <c r="K155" s="177"/>
      <c r="L155" s="53"/>
      <c r="M155" s="53"/>
      <c r="N155" s="53"/>
      <c r="O155" s="178"/>
      <c r="P155" s="178"/>
      <c r="Q155" s="43"/>
      <c r="R155" s="43"/>
      <c r="S155" s="193"/>
    </row>
    <row r="156" spans="2:19" x14ac:dyDescent="0.75">
      <c r="B156" s="43"/>
      <c r="C156" s="172"/>
      <c r="D156" s="53"/>
      <c r="E156" s="173"/>
      <c r="F156" s="174"/>
      <c r="G156" s="175"/>
      <c r="H156" s="175"/>
      <c r="I156" s="175"/>
      <c r="J156" s="176"/>
      <c r="K156" s="177"/>
      <c r="L156" s="53"/>
      <c r="M156" s="53"/>
      <c r="N156" s="53"/>
      <c r="O156" s="178"/>
      <c r="P156" s="178"/>
      <c r="Q156" s="43"/>
      <c r="R156" s="43"/>
      <c r="S156" s="193"/>
    </row>
    <row r="157" spans="2:19" x14ac:dyDescent="0.75">
      <c r="B157" s="43"/>
      <c r="C157" s="172"/>
      <c r="D157" s="53"/>
      <c r="E157" s="173"/>
      <c r="F157" s="174"/>
      <c r="G157" s="175"/>
      <c r="H157" s="175"/>
      <c r="I157" s="175"/>
      <c r="J157" s="176"/>
      <c r="K157" s="177"/>
      <c r="L157" s="53"/>
      <c r="M157" s="53"/>
      <c r="N157" s="53"/>
      <c r="O157" s="178"/>
      <c r="P157" s="178"/>
      <c r="Q157" s="43"/>
      <c r="R157" s="43"/>
      <c r="S157" s="193"/>
    </row>
    <row r="158" spans="2:19" x14ac:dyDescent="0.75">
      <c r="B158" s="43"/>
      <c r="C158" s="172"/>
      <c r="D158" s="53"/>
      <c r="E158" s="173"/>
      <c r="F158" s="174"/>
      <c r="G158" s="175"/>
      <c r="H158" s="175"/>
      <c r="I158" s="175"/>
      <c r="J158" s="176"/>
      <c r="K158" s="177"/>
      <c r="L158" s="53"/>
      <c r="M158" s="53"/>
      <c r="N158" s="53"/>
      <c r="O158" s="178"/>
      <c r="P158" s="178"/>
      <c r="Q158" s="43"/>
      <c r="R158" s="43"/>
      <c r="S158" s="193"/>
    </row>
    <row r="159" spans="2:19" x14ac:dyDescent="0.75">
      <c r="B159" s="43"/>
      <c r="C159" s="172"/>
      <c r="D159" s="53"/>
      <c r="E159" s="173"/>
      <c r="F159" s="174"/>
      <c r="G159" s="175"/>
      <c r="H159" s="175"/>
      <c r="I159" s="175"/>
      <c r="J159" s="176"/>
      <c r="K159" s="177"/>
      <c r="L159" s="53"/>
      <c r="M159" s="53"/>
      <c r="N159" s="53"/>
      <c r="O159" s="178"/>
      <c r="P159" s="178"/>
      <c r="Q159" s="43"/>
      <c r="R159" s="43"/>
      <c r="S159" s="193"/>
    </row>
    <row r="160" spans="2:19" x14ac:dyDescent="0.75">
      <c r="B160" s="43"/>
      <c r="C160" s="172"/>
      <c r="D160" s="53"/>
      <c r="E160" s="173"/>
      <c r="F160" s="174"/>
      <c r="G160" s="175"/>
      <c r="H160" s="175"/>
      <c r="I160" s="175"/>
      <c r="J160" s="176"/>
      <c r="K160" s="177"/>
      <c r="L160" s="53"/>
      <c r="M160" s="53"/>
      <c r="N160" s="53"/>
      <c r="O160" s="178"/>
      <c r="P160" s="178"/>
      <c r="Q160" s="43"/>
      <c r="R160" s="43"/>
      <c r="S160" s="193"/>
    </row>
    <row r="161" spans="2:19" x14ac:dyDescent="0.75">
      <c r="B161" s="43"/>
      <c r="C161" s="172"/>
      <c r="D161" s="53"/>
      <c r="E161" s="173"/>
      <c r="F161" s="174"/>
      <c r="G161" s="175"/>
      <c r="H161" s="175"/>
      <c r="I161" s="175"/>
      <c r="J161" s="176"/>
      <c r="K161" s="177"/>
      <c r="L161" s="53"/>
      <c r="M161" s="53"/>
      <c r="N161" s="53"/>
      <c r="O161" s="178"/>
      <c r="P161" s="178"/>
      <c r="Q161" s="43"/>
      <c r="R161" s="43"/>
      <c r="S161" s="193"/>
    </row>
    <row r="162" spans="2:19" x14ac:dyDescent="0.75">
      <c r="B162" s="43"/>
      <c r="C162" s="172"/>
      <c r="D162" s="53"/>
      <c r="E162" s="173"/>
      <c r="F162" s="174"/>
      <c r="G162" s="175"/>
      <c r="H162" s="175"/>
      <c r="I162" s="175"/>
      <c r="J162" s="176"/>
      <c r="K162" s="177"/>
      <c r="L162" s="53"/>
      <c r="M162" s="53"/>
      <c r="N162" s="53"/>
      <c r="O162" s="178"/>
      <c r="P162" s="178"/>
      <c r="Q162" s="43"/>
      <c r="R162" s="43"/>
      <c r="S162" s="193"/>
    </row>
    <row r="163" spans="2:19" x14ac:dyDescent="0.75">
      <c r="B163" s="43"/>
      <c r="C163" s="172"/>
      <c r="D163" s="53"/>
      <c r="E163" s="173"/>
      <c r="F163" s="174"/>
      <c r="G163" s="175"/>
      <c r="H163" s="175"/>
      <c r="I163" s="175"/>
      <c r="J163" s="176"/>
      <c r="K163" s="177"/>
      <c r="L163" s="53"/>
      <c r="M163" s="53"/>
      <c r="N163" s="53"/>
      <c r="O163" s="178"/>
      <c r="P163" s="178"/>
      <c r="Q163" s="43"/>
      <c r="R163" s="43"/>
      <c r="S163" s="193"/>
    </row>
    <row r="164" spans="2:19" x14ac:dyDescent="0.75">
      <c r="B164" s="43"/>
      <c r="C164" s="172"/>
      <c r="D164" s="53"/>
      <c r="E164" s="173"/>
      <c r="F164" s="174"/>
      <c r="G164" s="175"/>
      <c r="H164" s="175"/>
      <c r="I164" s="175"/>
      <c r="J164" s="176"/>
      <c r="K164" s="177"/>
      <c r="L164" s="53"/>
      <c r="M164" s="53"/>
      <c r="N164" s="53"/>
      <c r="O164" s="178"/>
      <c r="P164" s="178"/>
      <c r="Q164" s="43"/>
      <c r="R164" s="43"/>
      <c r="S164" s="193"/>
    </row>
    <row r="165" spans="2:19" x14ac:dyDescent="0.75">
      <c r="B165" s="43"/>
      <c r="C165" s="172"/>
      <c r="D165" s="53"/>
      <c r="E165" s="173"/>
      <c r="F165" s="174"/>
      <c r="G165" s="175"/>
      <c r="H165" s="175"/>
      <c r="I165" s="175"/>
      <c r="J165" s="176"/>
      <c r="K165" s="177"/>
      <c r="L165" s="53"/>
      <c r="M165" s="53"/>
      <c r="N165" s="53"/>
      <c r="O165" s="178"/>
      <c r="P165" s="178"/>
      <c r="Q165" s="43"/>
      <c r="R165" s="43"/>
      <c r="S165" s="193"/>
    </row>
    <row r="166" spans="2:19" x14ac:dyDescent="0.75">
      <c r="B166" s="43"/>
      <c r="C166" s="172"/>
      <c r="D166" s="53"/>
      <c r="E166" s="173"/>
      <c r="F166" s="174"/>
      <c r="G166" s="175"/>
      <c r="H166" s="175"/>
      <c r="I166" s="175"/>
      <c r="J166" s="176"/>
      <c r="K166" s="177"/>
      <c r="L166" s="53"/>
      <c r="M166" s="53"/>
      <c r="N166" s="53"/>
      <c r="O166" s="178"/>
      <c r="P166" s="178"/>
      <c r="Q166" s="43"/>
      <c r="R166" s="43"/>
      <c r="S166" s="193"/>
    </row>
    <row r="167" spans="2:19" x14ac:dyDescent="0.75">
      <c r="S167" s="28"/>
    </row>
    <row r="168" spans="2:19" x14ac:dyDescent="0.75">
      <c r="S168" s="28"/>
    </row>
    <row r="169" spans="2:19" x14ac:dyDescent="0.75">
      <c r="S169" s="28"/>
    </row>
    <row r="170" spans="2:19" x14ac:dyDescent="0.75">
      <c r="S170" s="28"/>
    </row>
    <row r="171" spans="2:19" x14ac:dyDescent="0.75">
      <c r="S171" s="28"/>
    </row>
    <row r="172" spans="2:19" x14ac:dyDescent="0.75">
      <c r="S172" s="28"/>
    </row>
    <row r="173" spans="2:19" x14ac:dyDescent="0.75">
      <c r="S173" s="28"/>
    </row>
    <row r="174" spans="2:19" x14ac:dyDescent="0.75">
      <c r="S174" s="28"/>
    </row>
    <row r="175" spans="2:19" x14ac:dyDescent="0.75">
      <c r="S175" s="28"/>
    </row>
    <row r="176" spans="2:19" x14ac:dyDescent="0.75">
      <c r="S176" s="28"/>
    </row>
    <row r="177" spans="19:19" x14ac:dyDescent="0.75">
      <c r="S177" s="28"/>
    </row>
    <row r="178" spans="19:19" x14ac:dyDescent="0.75">
      <c r="S178" s="28"/>
    </row>
    <row r="179" spans="19:19" x14ac:dyDescent="0.75">
      <c r="S179" s="28"/>
    </row>
    <row r="180" spans="19:19" x14ac:dyDescent="0.75">
      <c r="S180" s="28"/>
    </row>
    <row r="181" spans="19:19" x14ac:dyDescent="0.75">
      <c r="S181" s="28"/>
    </row>
    <row r="182" spans="19:19" x14ac:dyDescent="0.75">
      <c r="S182" s="28"/>
    </row>
  </sheetData>
  <mergeCells count="12">
    <mergeCell ref="H73:I73"/>
    <mergeCell ref="B2:Q2"/>
    <mergeCell ref="B3:Q3"/>
    <mergeCell ref="B4:Q4"/>
    <mergeCell ref="B5:Q5"/>
    <mergeCell ref="B6:Q6"/>
    <mergeCell ref="B47:N47"/>
    <mergeCell ref="B52:N52"/>
    <mergeCell ref="B61:N61"/>
    <mergeCell ref="H67:I67"/>
    <mergeCell ref="H69:I69"/>
    <mergeCell ref="H70:I70"/>
  </mergeCells>
  <printOptions horizontalCentered="1"/>
  <pageMargins left="0.7" right="0.7" top="0.5" bottom="0.5" header="0.3" footer="0.3"/>
  <pageSetup scale="33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zoomScaleNormal="100" workbookViewId="0">
      <selection activeCell="G30" sqref="G30"/>
    </sheetView>
  </sheetViews>
  <sheetFormatPr defaultRowHeight="14.75" x14ac:dyDescent="0.75"/>
  <cols>
    <col min="4" max="4" width="40.40625" bestFit="1" customWidth="1"/>
    <col min="5" max="5" width="11.40625" customWidth="1"/>
    <col min="6" max="6" width="10.54296875" customWidth="1"/>
    <col min="7" max="7" width="13.54296875" bestFit="1" customWidth="1"/>
    <col min="8" max="8" width="14.26953125" bestFit="1" customWidth="1"/>
  </cols>
  <sheetData>
    <row r="1" spans="3:8" ht="20.25" x14ac:dyDescent="0.85">
      <c r="C1" s="385" t="s">
        <v>113</v>
      </c>
      <c r="D1" s="386"/>
      <c r="E1" s="386"/>
      <c r="F1" s="386"/>
      <c r="G1" s="386"/>
      <c r="H1" s="387"/>
    </row>
    <row r="2" spans="3:8" ht="15.5" thickBot="1" x14ac:dyDescent="0.9">
      <c r="C2" s="229" t="s">
        <v>114</v>
      </c>
      <c r="D2" s="230" t="s">
        <v>115</v>
      </c>
      <c r="E2" s="230" t="s">
        <v>116</v>
      </c>
      <c r="F2" s="231" t="s">
        <v>117</v>
      </c>
      <c r="G2" s="232" t="s">
        <v>118</v>
      </c>
      <c r="H2" s="233" t="s">
        <v>119</v>
      </c>
    </row>
    <row r="3" spans="3:8" ht="15.5" thickTop="1" x14ac:dyDescent="0.75">
      <c r="C3" s="234" t="s">
        <v>120</v>
      </c>
      <c r="D3" s="235"/>
      <c r="E3" s="235"/>
      <c r="F3" s="236"/>
      <c r="G3" s="237"/>
      <c r="H3" s="238"/>
    </row>
    <row r="4" spans="3:8" x14ac:dyDescent="0.75">
      <c r="C4" s="239"/>
      <c r="D4" s="235" t="s">
        <v>121</v>
      </c>
      <c r="E4" s="235" t="s">
        <v>42</v>
      </c>
      <c r="F4" s="240">
        <v>64000</v>
      </c>
      <c r="G4" s="241">
        <v>12</v>
      </c>
      <c r="H4" s="238">
        <f>+F4*G4</f>
        <v>768000</v>
      </c>
    </row>
    <row r="5" spans="3:8" x14ac:dyDescent="0.75">
      <c r="C5" s="239"/>
      <c r="D5" s="54" t="s">
        <v>122</v>
      </c>
      <c r="E5" s="54" t="s">
        <v>123</v>
      </c>
      <c r="F5" s="242">
        <v>10600</v>
      </c>
      <c r="G5" s="241">
        <v>17</v>
      </c>
      <c r="H5" s="238">
        <f>+F5*G5</f>
        <v>180200</v>
      </c>
    </row>
    <row r="6" spans="3:8" x14ac:dyDescent="0.75">
      <c r="C6" s="239"/>
      <c r="D6" s="54" t="s">
        <v>124</v>
      </c>
      <c r="E6" s="54" t="s">
        <v>37</v>
      </c>
      <c r="F6" s="242">
        <v>21700</v>
      </c>
      <c r="G6" s="241">
        <v>2.5</v>
      </c>
      <c r="H6" s="238">
        <f t="shared" ref="H6:H10" si="0">+F6*G6</f>
        <v>54250</v>
      </c>
    </row>
    <row r="7" spans="3:8" x14ac:dyDescent="0.75">
      <c r="C7" s="239"/>
      <c r="D7" s="54" t="s">
        <v>125</v>
      </c>
      <c r="E7" s="54" t="s">
        <v>37</v>
      </c>
      <c r="F7" s="242">
        <v>21700</v>
      </c>
      <c r="G7" s="241">
        <v>2.5</v>
      </c>
      <c r="H7" s="238">
        <f t="shared" si="0"/>
        <v>54250</v>
      </c>
    </row>
    <row r="8" spans="3:8" x14ac:dyDescent="0.75">
      <c r="C8" s="239"/>
      <c r="D8" s="54" t="s">
        <v>126</v>
      </c>
      <c r="E8" s="54" t="s">
        <v>127</v>
      </c>
      <c r="F8" s="242">
        <v>195</v>
      </c>
      <c r="G8" s="241">
        <v>8</v>
      </c>
      <c r="H8" s="238">
        <f t="shared" si="0"/>
        <v>1560</v>
      </c>
    </row>
    <row r="9" spans="3:8" x14ac:dyDescent="0.75">
      <c r="C9" s="239"/>
      <c r="D9" s="54" t="s">
        <v>128</v>
      </c>
      <c r="E9" s="54" t="s">
        <v>66</v>
      </c>
      <c r="F9" s="242">
        <v>14</v>
      </c>
      <c r="G9" s="241">
        <v>100</v>
      </c>
      <c r="H9" s="238">
        <f t="shared" si="0"/>
        <v>1400</v>
      </c>
    </row>
    <row r="10" spans="3:8" ht="15.5" thickBot="1" x14ac:dyDescent="0.9">
      <c r="C10" s="243"/>
      <c r="D10" s="244" t="s">
        <v>129</v>
      </c>
      <c r="E10" s="244" t="s">
        <v>86</v>
      </c>
      <c r="F10" s="245">
        <v>1</v>
      </c>
      <c r="G10" s="246">
        <v>200000</v>
      </c>
      <c r="H10" s="247">
        <f t="shared" si="0"/>
        <v>200000</v>
      </c>
    </row>
    <row r="11" spans="3:8" x14ac:dyDescent="0.75">
      <c r="C11" s="234"/>
      <c r="D11" s="235" t="s">
        <v>130</v>
      </c>
      <c r="E11" s="235"/>
      <c r="F11" s="236"/>
      <c r="G11" s="237"/>
      <c r="H11" s="238">
        <f>+SUM(H4:H10)</f>
        <v>1259660</v>
      </c>
    </row>
    <row r="12" spans="3:8" ht="15.5" thickBot="1" x14ac:dyDescent="0.9">
      <c r="C12" s="248"/>
      <c r="D12" s="249" t="s">
        <v>131</v>
      </c>
      <c r="E12" s="249"/>
      <c r="F12" s="250">
        <v>0.2</v>
      </c>
      <c r="G12" s="251">
        <f>+H11</f>
        <v>1259660</v>
      </c>
      <c r="H12" s="247">
        <f t="shared" ref="H12:H14" si="1">+F12*G12</f>
        <v>251932</v>
      </c>
    </row>
    <row r="13" spans="3:8" x14ac:dyDescent="0.75">
      <c r="C13" s="252"/>
      <c r="D13" s="253" t="s">
        <v>3</v>
      </c>
      <c r="E13" s="253"/>
      <c r="F13" s="254"/>
      <c r="G13" s="255"/>
      <c r="H13" s="256">
        <f>+H11+H12</f>
        <v>1511592</v>
      </c>
    </row>
    <row r="14" spans="3:8" ht="15.5" thickBot="1" x14ac:dyDescent="0.9">
      <c r="C14" s="248"/>
      <c r="D14" s="244" t="s">
        <v>132</v>
      </c>
      <c r="E14" s="249"/>
      <c r="F14" s="257">
        <v>0.14000000000000001</v>
      </c>
      <c r="G14" s="251">
        <f>H13</f>
        <v>1511592</v>
      </c>
      <c r="H14" s="247">
        <f t="shared" si="1"/>
        <v>211622.88000000003</v>
      </c>
    </row>
    <row r="15" spans="3:8" x14ac:dyDescent="0.75">
      <c r="C15" s="252"/>
      <c r="D15" s="258"/>
      <c r="E15" s="253"/>
      <c r="F15" s="259"/>
      <c r="G15" s="253"/>
      <c r="H15" s="256"/>
    </row>
    <row r="16" spans="3:8" ht="15.5" thickBot="1" x14ac:dyDescent="0.9">
      <c r="C16" s="248" t="s">
        <v>133</v>
      </c>
      <c r="D16" s="244"/>
      <c r="E16" s="249"/>
      <c r="F16" s="257"/>
      <c r="G16" s="249"/>
      <c r="H16" s="260">
        <f>H13+H14</f>
        <v>1723214.8800000001</v>
      </c>
    </row>
    <row r="17" spans="2:9" x14ac:dyDescent="0.75">
      <c r="C17" s="43"/>
      <c r="D17" s="54"/>
      <c r="E17" s="43"/>
      <c r="F17" s="261"/>
      <c r="G17" s="43"/>
      <c r="H17" s="262"/>
    </row>
    <row r="18" spans="2:9" x14ac:dyDescent="0.75">
      <c r="C18" s="43"/>
      <c r="D18" s="54" t="s">
        <v>134</v>
      </c>
      <c r="E18" s="43"/>
      <c r="F18" s="43" t="s">
        <v>135</v>
      </c>
      <c r="G18" s="43"/>
      <c r="H18" s="43"/>
    </row>
    <row r="19" spans="2:9" x14ac:dyDescent="0.75">
      <c r="C19" s="43"/>
      <c r="D19" s="54" t="s">
        <v>136</v>
      </c>
      <c r="E19" s="43"/>
      <c r="F19" s="43" t="s">
        <v>137</v>
      </c>
      <c r="G19" s="43"/>
      <c r="H19" s="43"/>
    </row>
    <row r="20" spans="2:9" ht="15.5" thickBot="1" x14ac:dyDescent="0.9">
      <c r="C20" s="43"/>
      <c r="D20" s="43"/>
      <c r="E20" s="43"/>
      <c r="F20" s="235"/>
      <c r="G20" s="43"/>
      <c r="H20" s="43"/>
    </row>
    <row r="21" spans="2:9" x14ac:dyDescent="0.75">
      <c r="B21" s="3"/>
      <c r="C21" s="252" t="s">
        <v>138</v>
      </c>
      <c r="D21" s="253"/>
      <c r="E21" s="253"/>
      <c r="F21" s="254"/>
      <c r="G21" s="255"/>
      <c r="H21" s="256"/>
      <c r="I21" s="3"/>
    </row>
    <row r="22" spans="2:9" ht="15.75" x14ac:dyDescent="0.75">
      <c r="B22" s="3"/>
      <c r="C22" s="234"/>
      <c r="D22" s="235" t="s">
        <v>139</v>
      </c>
      <c r="E22" s="235"/>
      <c r="F22" s="236"/>
      <c r="G22" s="237"/>
      <c r="H22" s="279">
        <v>404495</v>
      </c>
      <c r="I22" s="3"/>
    </row>
    <row r="23" spans="2:9" ht="15.75" x14ac:dyDescent="0.75">
      <c r="B23" s="3"/>
      <c r="C23" s="234"/>
      <c r="D23" s="54" t="s">
        <v>140</v>
      </c>
      <c r="E23" s="235"/>
      <c r="F23" s="236"/>
      <c r="G23" s="237"/>
      <c r="H23" s="279">
        <v>240690</v>
      </c>
      <c r="I23" s="3"/>
    </row>
    <row r="24" spans="2:9" ht="15.75" x14ac:dyDescent="0.75">
      <c r="B24" s="3"/>
      <c r="C24" s="234"/>
      <c r="D24" s="54" t="s">
        <v>141</v>
      </c>
      <c r="E24" s="54"/>
      <c r="F24" s="236"/>
      <c r="G24" s="237"/>
      <c r="H24" s="279">
        <v>42472</v>
      </c>
      <c r="I24" s="3"/>
    </row>
    <row r="25" spans="2:9" ht="15.5" thickBot="1" x14ac:dyDescent="0.9">
      <c r="B25" s="3"/>
      <c r="C25" s="248"/>
      <c r="D25" s="244" t="s">
        <v>130</v>
      </c>
      <c r="E25" s="249"/>
      <c r="F25" s="263"/>
      <c r="G25" s="251"/>
      <c r="H25" s="247">
        <f>SUM(H22:H24)</f>
        <v>687657</v>
      </c>
      <c r="I25" s="3"/>
    </row>
    <row r="26" spans="2:9" ht="15.5" thickBot="1" x14ac:dyDescent="0.9">
      <c r="B26" s="3"/>
      <c r="C26" s="235"/>
      <c r="D26" s="235"/>
      <c r="E26" s="235"/>
      <c r="F26" s="236"/>
      <c r="G26" s="237"/>
      <c r="H26" s="237"/>
      <c r="I26" s="3"/>
    </row>
    <row r="27" spans="2:9" x14ac:dyDescent="0.75">
      <c r="B27" s="3"/>
      <c r="C27" s="252" t="s">
        <v>142</v>
      </c>
      <c r="D27" s="253"/>
      <c r="E27" s="253"/>
      <c r="F27" s="254"/>
      <c r="G27" s="255"/>
      <c r="H27" s="256"/>
      <c r="I27" s="3"/>
    </row>
    <row r="28" spans="2:9" ht="15.5" thickBot="1" x14ac:dyDescent="0.9">
      <c r="B28" s="3"/>
      <c r="C28" s="248"/>
      <c r="D28" s="244" t="s">
        <v>143</v>
      </c>
      <c r="E28" s="249"/>
      <c r="F28" s="263"/>
      <c r="G28" s="251"/>
      <c r="H28" s="247">
        <v>85500</v>
      </c>
      <c r="I28" s="3"/>
    </row>
    <row r="29" spans="2:9" ht="15.5" thickBot="1" x14ac:dyDescent="0.9">
      <c r="B29" s="3"/>
      <c r="C29" s="235"/>
      <c r="D29" s="235"/>
      <c r="E29" s="235"/>
      <c r="F29" s="264"/>
      <c r="G29" s="237"/>
      <c r="H29" s="237"/>
      <c r="I29" s="3"/>
    </row>
    <row r="30" spans="2:9" x14ac:dyDescent="0.75">
      <c r="B30" s="3"/>
      <c r="C30" s="265" t="s">
        <v>144</v>
      </c>
      <c r="D30" s="253"/>
      <c r="E30" s="253"/>
      <c r="F30" s="254"/>
      <c r="G30" s="255"/>
      <c r="H30" s="266">
        <f>H16+H25+H28</f>
        <v>2496371.88</v>
      </c>
      <c r="I30" s="3"/>
    </row>
    <row r="31" spans="2:9" x14ac:dyDescent="0.75">
      <c r="B31" s="3"/>
      <c r="C31" s="234"/>
      <c r="D31" s="235" t="s">
        <v>145</v>
      </c>
      <c r="E31" s="235"/>
      <c r="F31" s="236"/>
      <c r="G31" s="237"/>
      <c r="H31" s="267">
        <f>H25/H30</f>
        <v>0.27546256449579942</v>
      </c>
      <c r="I31" s="3"/>
    </row>
    <row r="32" spans="2:9" x14ac:dyDescent="0.75">
      <c r="B32" s="3"/>
      <c r="C32" s="234"/>
      <c r="D32" s="235" t="s">
        <v>146</v>
      </c>
      <c r="E32" s="235"/>
      <c r="F32" s="236"/>
      <c r="G32" s="237"/>
      <c r="H32" s="267">
        <f>H28/H30</f>
        <v>3.4249704815614249E-2</v>
      </c>
      <c r="I32" s="3"/>
    </row>
    <row r="33" spans="2:9" ht="15.5" thickBot="1" x14ac:dyDescent="0.9">
      <c r="B33" s="3"/>
      <c r="C33" s="248"/>
      <c r="D33" s="244" t="s">
        <v>244</v>
      </c>
      <c r="E33" s="249"/>
      <c r="F33" s="249"/>
      <c r="G33" s="249"/>
      <c r="H33" s="268">
        <f>H16/H30</f>
        <v>0.6902877306885864</v>
      </c>
      <c r="I33" s="3"/>
    </row>
    <row r="34" spans="2:9" x14ac:dyDescent="0.75">
      <c r="B34" s="3"/>
      <c r="C34" s="3"/>
      <c r="D34" s="3"/>
      <c r="E34" s="3"/>
      <c r="F34" s="3"/>
      <c r="G34" s="3"/>
      <c r="H34" s="3"/>
      <c r="I34" s="3"/>
    </row>
  </sheetData>
  <mergeCells count="1">
    <mergeCell ref="C1:H1"/>
  </mergeCells>
  <pageMargins left="0.7" right="0.7" top="1" bottom="0.75" header="0.3" footer="0.3"/>
  <pageSetup fitToHeight="0" orientation="landscape" r:id="rId1"/>
  <headerFooter>
    <oddHeader>&amp;L1590-18-01&amp;CUSH 8
Monico - Laona
Youngs Lane Intersection &amp;KFF0000GRADING&amp;RForest County</oddHeader>
    <oddFooter>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H32" sqref="H32"/>
    </sheetView>
  </sheetViews>
  <sheetFormatPr defaultRowHeight="14.75" x14ac:dyDescent="0.75"/>
  <cols>
    <col min="1" max="1" width="10.7265625" customWidth="1"/>
    <col min="2" max="2" width="50.7265625" customWidth="1"/>
    <col min="3" max="3" width="6.86328125" bestFit="1" customWidth="1"/>
    <col min="4" max="4" width="10.7265625" customWidth="1"/>
    <col min="5" max="5" width="10.7265625" style="2" customWidth="1"/>
    <col min="6" max="6" width="13.26953125" style="1" bestFit="1" customWidth="1"/>
  </cols>
  <sheetData>
    <row r="1" spans="1:6" x14ac:dyDescent="0.75">
      <c r="A1" s="49" t="s">
        <v>147</v>
      </c>
      <c r="B1" s="49" t="s">
        <v>148</v>
      </c>
      <c r="C1" s="49" t="s">
        <v>116</v>
      </c>
      <c r="D1" s="49" t="s">
        <v>117</v>
      </c>
      <c r="E1" s="50" t="s">
        <v>118</v>
      </c>
      <c r="F1" s="269" t="s">
        <v>3</v>
      </c>
    </row>
    <row r="2" spans="1:6" x14ac:dyDescent="0.75">
      <c r="A2" s="49"/>
      <c r="B2" s="49" t="s">
        <v>6</v>
      </c>
      <c r="C2" s="270"/>
      <c r="D2" s="270"/>
      <c r="E2" s="270"/>
      <c r="F2" s="270"/>
    </row>
    <row r="3" spans="1:6" x14ac:dyDescent="0.75">
      <c r="A3" s="45" t="s">
        <v>149</v>
      </c>
      <c r="B3" s="271" t="s">
        <v>33</v>
      </c>
      <c r="C3" s="271" t="s">
        <v>150</v>
      </c>
      <c r="D3" s="271">
        <v>0.6</v>
      </c>
      <c r="E3" s="272">
        <v>4536.2391699999998</v>
      </c>
      <c r="F3" s="272">
        <f>D3*E3</f>
        <v>2721.7435019999998</v>
      </c>
    </row>
    <row r="4" spans="1:6" x14ac:dyDescent="0.75">
      <c r="A4" s="45" t="s">
        <v>151</v>
      </c>
      <c r="B4" s="271" t="s">
        <v>152</v>
      </c>
      <c r="C4" s="271" t="s">
        <v>150</v>
      </c>
      <c r="D4" s="271">
        <v>0.6</v>
      </c>
      <c r="E4" s="272">
        <v>1870.27081</v>
      </c>
      <c r="F4" s="272">
        <f t="shared" ref="F4:F33" si="0">D4*E4</f>
        <v>1122.1624859999999</v>
      </c>
    </row>
    <row r="5" spans="1:6" x14ac:dyDescent="0.75">
      <c r="A5" s="45" t="s">
        <v>153</v>
      </c>
      <c r="B5" s="271" t="s">
        <v>154</v>
      </c>
      <c r="C5" s="271" t="s">
        <v>42</v>
      </c>
      <c r="D5" s="271">
        <v>1500</v>
      </c>
      <c r="E5" s="272">
        <v>12</v>
      </c>
      <c r="F5" s="272">
        <f t="shared" si="0"/>
        <v>18000</v>
      </c>
    </row>
    <row r="6" spans="1:6" x14ac:dyDescent="0.75">
      <c r="A6" s="45" t="s">
        <v>155</v>
      </c>
      <c r="B6" s="271" t="s">
        <v>156</v>
      </c>
      <c r="C6" s="271" t="s">
        <v>42</v>
      </c>
      <c r="D6" s="271">
        <v>7500</v>
      </c>
      <c r="E6" s="272">
        <v>10</v>
      </c>
      <c r="F6" s="272">
        <f t="shared" si="0"/>
        <v>75000</v>
      </c>
    </row>
    <row r="7" spans="1:6" x14ac:dyDescent="0.75">
      <c r="A7" s="45" t="s">
        <v>157</v>
      </c>
      <c r="B7" s="271" t="s">
        <v>158</v>
      </c>
      <c r="C7" s="271" t="s">
        <v>48</v>
      </c>
      <c r="D7" s="271">
        <v>1</v>
      </c>
      <c r="E7" s="272">
        <v>2000</v>
      </c>
      <c r="F7" s="272">
        <f t="shared" si="0"/>
        <v>2000</v>
      </c>
    </row>
    <row r="8" spans="1:6" x14ac:dyDescent="0.75">
      <c r="A8" s="45" t="s">
        <v>159</v>
      </c>
      <c r="B8" s="271" t="s">
        <v>160</v>
      </c>
      <c r="C8" s="271" t="s">
        <v>44</v>
      </c>
      <c r="D8" s="271">
        <v>1700</v>
      </c>
      <c r="E8" s="272">
        <v>16</v>
      </c>
      <c r="F8" s="272">
        <f t="shared" si="0"/>
        <v>27200</v>
      </c>
    </row>
    <row r="9" spans="1:6" x14ac:dyDescent="0.75">
      <c r="A9" s="45" t="s">
        <v>161</v>
      </c>
      <c r="B9" s="271" t="s">
        <v>162</v>
      </c>
      <c r="C9" s="271" t="s">
        <v>48</v>
      </c>
      <c r="D9" s="271">
        <v>8</v>
      </c>
      <c r="E9" s="272">
        <v>350</v>
      </c>
      <c r="F9" s="272">
        <f t="shared" si="0"/>
        <v>2800</v>
      </c>
    </row>
    <row r="10" spans="1:6" x14ac:dyDescent="0.75">
      <c r="A10" s="45" t="s">
        <v>163</v>
      </c>
      <c r="B10" s="271" t="s">
        <v>164</v>
      </c>
      <c r="C10" s="271" t="s">
        <v>39</v>
      </c>
      <c r="D10" s="271">
        <v>200</v>
      </c>
      <c r="E10" s="272">
        <v>30</v>
      </c>
      <c r="F10" s="272">
        <f t="shared" si="0"/>
        <v>6000</v>
      </c>
    </row>
    <row r="11" spans="1:6" x14ac:dyDescent="0.75">
      <c r="A11" s="45" t="s">
        <v>165</v>
      </c>
      <c r="B11" s="271" t="s">
        <v>166</v>
      </c>
      <c r="C11" s="271" t="s">
        <v>39</v>
      </c>
      <c r="D11" s="271">
        <v>155</v>
      </c>
      <c r="E11" s="272">
        <v>33</v>
      </c>
      <c r="F11" s="272">
        <f t="shared" si="0"/>
        <v>5115</v>
      </c>
    </row>
    <row r="12" spans="1:6" x14ac:dyDescent="0.75">
      <c r="A12" s="45" t="s">
        <v>167</v>
      </c>
      <c r="B12" s="271" t="s">
        <v>168</v>
      </c>
      <c r="C12" s="271" t="s">
        <v>53</v>
      </c>
      <c r="D12" s="271">
        <v>28000</v>
      </c>
      <c r="E12" s="272">
        <v>7</v>
      </c>
      <c r="F12" s="272">
        <f t="shared" si="0"/>
        <v>196000</v>
      </c>
    </row>
    <row r="13" spans="1:6" x14ac:dyDescent="0.75">
      <c r="A13" s="45" t="s">
        <v>169</v>
      </c>
      <c r="B13" s="271" t="s">
        <v>170</v>
      </c>
      <c r="C13" s="271" t="s">
        <v>53</v>
      </c>
      <c r="D13" s="271">
        <v>180</v>
      </c>
      <c r="E13" s="272">
        <v>40</v>
      </c>
      <c r="F13" s="272">
        <f t="shared" si="0"/>
        <v>7200</v>
      </c>
    </row>
    <row r="14" spans="1:6" x14ac:dyDescent="0.75">
      <c r="A14" s="45" t="s">
        <v>171</v>
      </c>
      <c r="B14" s="271" t="s">
        <v>54</v>
      </c>
      <c r="C14" s="271" t="s">
        <v>42</v>
      </c>
      <c r="D14" s="271">
        <v>20</v>
      </c>
      <c r="E14" s="272">
        <v>81</v>
      </c>
      <c r="F14" s="272">
        <f t="shared" si="0"/>
        <v>1620</v>
      </c>
    </row>
    <row r="15" spans="1:6" x14ac:dyDescent="0.75">
      <c r="A15" s="45" t="s">
        <v>172</v>
      </c>
      <c r="B15" s="271" t="s">
        <v>173</v>
      </c>
      <c r="C15" s="271" t="s">
        <v>48</v>
      </c>
      <c r="D15" s="271">
        <v>1</v>
      </c>
      <c r="E15" s="272">
        <v>500</v>
      </c>
      <c r="F15" s="272">
        <f t="shared" si="0"/>
        <v>500</v>
      </c>
    </row>
    <row r="16" spans="1:6" x14ac:dyDescent="0.75">
      <c r="A16" s="45" t="s">
        <v>174</v>
      </c>
      <c r="B16" s="271" t="s">
        <v>175</v>
      </c>
      <c r="C16" s="271" t="s">
        <v>48</v>
      </c>
      <c r="D16" s="271">
        <v>1</v>
      </c>
      <c r="E16" s="272">
        <v>20000</v>
      </c>
      <c r="F16" s="272">
        <f t="shared" si="0"/>
        <v>20000</v>
      </c>
    </row>
    <row r="17" spans="1:6" x14ac:dyDescent="0.75">
      <c r="A17" s="45" t="s">
        <v>176</v>
      </c>
      <c r="B17" s="271" t="s">
        <v>124</v>
      </c>
      <c r="C17" s="271" t="s">
        <v>37</v>
      </c>
      <c r="D17" s="271">
        <v>8000</v>
      </c>
      <c r="E17" s="272">
        <v>4</v>
      </c>
      <c r="F17" s="272">
        <f t="shared" si="0"/>
        <v>32000</v>
      </c>
    </row>
    <row r="18" spans="1:6" x14ac:dyDescent="0.75">
      <c r="A18" s="45" t="s">
        <v>177</v>
      </c>
      <c r="B18" s="271" t="s">
        <v>178</v>
      </c>
      <c r="C18" s="271" t="s">
        <v>39</v>
      </c>
      <c r="D18" s="271">
        <v>1500</v>
      </c>
      <c r="E18" s="272">
        <v>2</v>
      </c>
      <c r="F18" s="272">
        <f t="shared" si="0"/>
        <v>3000</v>
      </c>
    </row>
    <row r="19" spans="1:6" x14ac:dyDescent="0.75">
      <c r="A19" s="45" t="s">
        <v>179</v>
      </c>
      <c r="B19" s="271" t="s">
        <v>180</v>
      </c>
      <c r="C19" s="271" t="s">
        <v>39</v>
      </c>
      <c r="D19" s="271">
        <v>500</v>
      </c>
      <c r="E19" s="272">
        <v>0.5</v>
      </c>
      <c r="F19" s="272">
        <f t="shared" si="0"/>
        <v>250</v>
      </c>
    </row>
    <row r="20" spans="1:6" x14ac:dyDescent="0.75">
      <c r="A20" s="45" t="s">
        <v>181</v>
      </c>
      <c r="B20" s="271" t="s">
        <v>182</v>
      </c>
      <c r="C20" s="271" t="s">
        <v>48</v>
      </c>
      <c r="D20" s="271">
        <v>3</v>
      </c>
      <c r="E20" s="272">
        <v>300</v>
      </c>
      <c r="F20" s="272">
        <f t="shared" si="0"/>
        <v>900</v>
      </c>
    </row>
    <row r="21" spans="1:6" x14ac:dyDescent="0.75">
      <c r="A21" s="45" t="s">
        <v>183</v>
      </c>
      <c r="B21" s="270" t="s">
        <v>184</v>
      </c>
      <c r="C21" s="270" t="s">
        <v>48</v>
      </c>
      <c r="D21" s="270">
        <v>3</v>
      </c>
      <c r="E21" s="273">
        <v>300</v>
      </c>
      <c r="F21" s="273">
        <f t="shared" si="0"/>
        <v>900</v>
      </c>
    </row>
    <row r="22" spans="1:6" x14ac:dyDescent="0.75">
      <c r="A22" s="45" t="s">
        <v>185</v>
      </c>
      <c r="B22" s="270" t="s">
        <v>186</v>
      </c>
      <c r="C22" s="270" t="s">
        <v>37</v>
      </c>
      <c r="D22" s="270">
        <v>8000</v>
      </c>
      <c r="E22" s="273">
        <v>3</v>
      </c>
      <c r="F22" s="273">
        <f t="shared" si="0"/>
        <v>24000</v>
      </c>
    </row>
    <row r="23" spans="1:6" x14ac:dyDescent="0.75">
      <c r="A23" s="45" t="s">
        <v>187</v>
      </c>
      <c r="B23" s="270" t="s">
        <v>188</v>
      </c>
      <c r="C23" s="270" t="s">
        <v>48</v>
      </c>
      <c r="D23" s="270">
        <v>8</v>
      </c>
      <c r="E23" s="273">
        <v>140</v>
      </c>
      <c r="F23" s="273">
        <f t="shared" si="0"/>
        <v>1120</v>
      </c>
    </row>
    <row r="24" spans="1:6" x14ac:dyDescent="0.75">
      <c r="A24" s="45" t="s">
        <v>189</v>
      </c>
      <c r="B24" s="270" t="s">
        <v>190</v>
      </c>
      <c r="C24" s="270" t="s">
        <v>39</v>
      </c>
      <c r="D24" s="270">
        <v>300</v>
      </c>
      <c r="E24" s="273">
        <v>9</v>
      </c>
      <c r="F24" s="273">
        <f t="shared" si="0"/>
        <v>2700</v>
      </c>
    </row>
    <row r="25" spans="1:6" x14ac:dyDescent="0.75">
      <c r="A25" s="45" t="s">
        <v>191</v>
      </c>
      <c r="B25" s="270" t="s">
        <v>192</v>
      </c>
      <c r="C25" s="270" t="s">
        <v>66</v>
      </c>
      <c r="D25" s="270">
        <v>6</v>
      </c>
      <c r="E25" s="273">
        <v>110</v>
      </c>
      <c r="F25" s="273">
        <f t="shared" si="0"/>
        <v>660</v>
      </c>
    </row>
    <row r="26" spans="1:6" x14ac:dyDescent="0.75">
      <c r="A26" s="45" t="s">
        <v>193</v>
      </c>
      <c r="B26" s="270" t="s">
        <v>194</v>
      </c>
      <c r="C26" s="270" t="s">
        <v>127</v>
      </c>
      <c r="D26" s="270">
        <v>220</v>
      </c>
      <c r="E26" s="273">
        <v>1.5</v>
      </c>
      <c r="F26" s="273">
        <f t="shared" si="0"/>
        <v>330</v>
      </c>
    </row>
    <row r="27" spans="1:6" x14ac:dyDescent="0.75">
      <c r="A27" s="45" t="s">
        <v>195</v>
      </c>
      <c r="B27" s="270" t="s">
        <v>196</v>
      </c>
      <c r="C27" s="270" t="s">
        <v>127</v>
      </c>
      <c r="D27" s="270">
        <v>220</v>
      </c>
      <c r="E27" s="273">
        <v>5</v>
      </c>
      <c r="F27" s="273">
        <f t="shared" si="0"/>
        <v>1100</v>
      </c>
    </row>
    <row r="28" spans="1:6" x14ac:dyDescent="0.75">
      <c r="A28" s="45" t="s">
        <v>197</v>
      </c>
      <c r="B28" s="270" t="s">
        <v>198</v>
      </c>
      <c r="C28" s="270" t="s">
        <v>48</v>
      </c>
      <c r="D28" s="270">
        <v>1</v>
      </c>
      <c r="E28" s="273">
        <v>2800</v>
      </c>
      <c r="F28" s="273">
        <f t="shared" si="0"/>
        <v>2800</v>
      </c>
    </row>
    <row r="29" spans="1:6" x14ac:dyDescent="0.75">
      <c r="A29" s="45" t="s">
        <v>199</v>
      </c>
      <c r="B29" s="270" t="s">
        <v>200</v>
      </c>
      <c r="C29" s="270" t="s">
        <v>201</v>
      </c>
      <c r="D29" s="270">
        <v>1350</v>
      </c>
      <c r="E29" s="273">
        <v>1</v>
      </c>
      <c r="F29" s="273">
        <f t="shared" si="0"/>
        <v>1350</v>
      </c>
    </row>
    <row r="30" spans="1:6" x14ac:dyDescent="0.75">
      <c r="A30" s="45" t="s">
        <v>202</v>
      </c>
      <c r="B30" s="270" t="s">
        <v>203</v>
      </c>
      <c r="C30" s="270" t="s">
        <v>201</v>
      </c>
      <c r="D30" s="270">
        <v>1350</v>
      </c>
      <c r="E30" s="273">
        <v>0.25</v>
      </c>
      <c r="F30" s="273">
        <f t="shared" si="0"/>
        <v>337.5</v>
      </c>
    </row>
    <row r="31" spans="1:6" x14ac:dyDescent="0.75">
      <c r="A31" s="45" t="s">
        <v>204</v>
      </c>
      <c r="B31" s="270" t="s">
        <v>205</v>
      </c>
      <c r="C31" s="270" t="s">
        <v>37</v>
      </c>
      <c r="D31" s="270">
        <v>34</v>
      </c>
      <c r="E31" s="273">
        <v>6</v>
      </c>
      <c r="F31" s="273">
        <f t="shared" si="0"/>
        <v>204</v>
      </c>
    </row>
    <row r="32" spans="1:6" x14ac:dyDescent="0.75">
      <c r="A32" s="45" t="s">
        <v>206</v>
      </c>
      <c r="B32" s="270" t="s">
        <v>74</v>
      </c>
      <c r="C32" s="270" t="s">
        <v>39</v>
      </c>
      <c r="D32" s="270">
        <v>200</v>
      </c>
      <c r="E32" s="273">
        <v>4</v>
      </c>
      <c r="F32" s="273">
        <f t="shared" si="0"/>
        <v>800</v>
      </c>
    </row>
    <row r="33" spans="1:7" x14ac:dyDescent="0.75">
      <c r="A33" s="45" t="s">
        <v>207</v>
      </c>
      <c r="B33" s="270" t="s">
        <v>208</v>
      </c>
      <c r="C33" s="270" t="s">
        <v>209</v>
      </c>
      <c r="D33" s="270">
        <v>105000</v>
      </c>
      <c r="E33" s="273">
        <v>1</v>
      </c>
      <c r="F33" s="273">
        <f t="shared" si="0"/>
        <v>105000</v>
      </c>
    </row>
    <row r="34" spans="1:7" x14ac:dyDescent="0.75">
      <c r="A34" s="43"/>
      <c r="B34" s="274" t="s">
        <v>230</v>
      </c>
      <c r="C34" s="43"/>
      <c r="D34" s="43"/>
      <c r="E34" s="262"/>
      <c r="F34" s="275">
        <f>SUM(F3:F33)</f>
        <v>542730.40598799998</v>
      </c>
    </row>
    <row r="35" spans="1:7" x14ac:dyDescent="0.75">
      <c r="A35" s="43"/>
      <c r="B35" s="274" t="s">
        <v>245</v>
      </c>
      <c r="C35" s="43"/>
      <c r="D35" s="43"/>
      <c r="E35" s="262"/>
      <c r="F35" s="341">
        <f>0.1*F34</f>
        <v>54273.040598799998</v>
      </c>
    </row>
    <row r="36" spans="1:7" x14ac:dyDescent="0.75">
      <c r="A36" s="43"/>
      <c r="B36" s="274" t="s">
        <v>133</v>
      </c>
      <c r="C36" s="43"/>
      <c r="D36" s="43"/>
      <c r="E36" s="262"/>
      <c r="F36" s="275">
        <f>F34+F35</f>
        <v>597003.44658680004</v>
      </c>
    </row>
    <row r="37" spans="1:7" x14ac:dyDescent="0.75">
      <c r="A37" s="43"/>
      <c r="B37" s="274" t="s">
        <v>140</v>
      </c>
      <c r="C37" s="276">
        <v>0.23</v>
      </c>
      <c r="D37" s="43"/>
      <c r="E37" s="262"/>
      <c r="F37" s="275">
        <f>F36*C37</f>
        <v>137310.79271496402</v>
      </c>
    </row>
    <row r="38" spans="1:7" ht="15.5" thickBot="1" x14ac:dyDescent="0.9">
      <c r="A38" s="43"/>
      <c r="B38" s="274" t="s">
        <v>141</v>
      </c>
      <c r="C38" s="276">
        <v>0.14000000000000001</v>
      </c>
      <c r="D38" s="43"/>
      <c r="E38" s="262"/>
      <c r="F38" s="251">
        <f>F36*C38</f>
        <v>83580.482522152015</v>
      </c>
      <c r="G38" t="s">
        <v>210</v>
      </c>
    </row>
    <row r="39" spans="1:7" x14ac:dyDescent="0.75">
      <c r="A39" s="43"/>
      <c r="B39" s="277" t="s">
        <v>211</v>
      </c>
      <c r="C39" s="43"/>
      <c r="D39" s="43"/>
      <c r="E39" s="262"/>
      <c r="F39" s="278">
        <f>SUM(F36:F38)</f>
        <v>817894.72182391607</v>
      </c>
    </row>
    <row r="40" spans="1:7" x14ac:dyDescent="0.75">
      <c r="A40" s="43"/>
      <c r="B40" s="43"/>
      <c r="C40" s="43"/>
      <c r="D40" s="43"/>
      <c r="E40" s="262"/>
      <c r="F40" s="274"/>
    </row>
  </sheetData>
  <pageMargins left="0.7" right="0.7" top="0.75" bottom="0.75" header="0.3" footer="0.3"/>
  <pageSetup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1"/>
  <sheetViews>
    <sheetView topLeftCell="A10" zoomScale="93" zoomScaleNormal="93" workbookViewId="0">
      <selection activeCell="K26" sqref="K26"/>
    </sheetView>
  </sheetViews>
  <sheetFormatPr defaultRowHeight="14.75" x14ac:dyDescent="0.75"/>
  <cols>
    <col min="1" max="1" width="36.26953125" style="20" customWidth="1"/>
    <col min="2" max="2" width="10.54296875" style="21" customWidth="1"/>
    <col min="3" max="3" width="14.54296875" style="22" customWidth="1"/>
    <col min="4" max="4" width="19.54296875" style="29" customWidth="1"/>
    <col min="5" max="5" width="19.40625" style="25" hidden="1" customWidth="1"/>
    <col min="6" max="6" width="14.40625" style="21" customWidth="1"/>
    <col min="7" max="8" width="17.26953125" style="27" hidden="1" customWidth="1"/>
    <col min="9" max="9" width="48.86328125" bestFit="1" customWidth="1"/>
    <col min="10" max="10" width="17.86328125" customWidth="1"/>
    <col min="11" max="11" width="119.54296875" customWidth="1"/>
  </cols>
  <sheetData>
    <row r="1" spans="1:11" s="4" customFormat="1" ht="12.75" customHeight="1" thickBot="1" x14ac:dyDescent="0.9">
      <c r="A1" s="6"/>
      <c r="B1" s="7"/>
      <c r="C1" s="8"/>
      <c r="D1" s="42"/>
      <c r="E1" s="11"/>
      <c r="F1" s="7"/>
      <c r="G1" s="13"/>
      <c r="H1" s="13"/>
      <c r="I1" s="5"/>
    </row>
    <row r="2" spans="1:11" s="4" customFormat="1" ht="15.75" x14ac:dyDescent="0.75">
      <c r="A2" s="362"/>
      <c r="B2" s="362"/>
      <c r="C2" s="362"/>
      <c r="D2" s="362"/>
      <c r="E2" s="362"/>
      <c r="F2" s="362"/>
      <c r="G2" s="362"/>
      <c r="H2" s="362"/>
      <c r="I2" s="363"/>
    </row>
    <row r="3" spans="1:11" s="4" customFormat="1" ht="15.75" x14ac:dyDescent="0.75">
      <c r="A3" s="365" t="s">
        <v>212</v>
      </c>
      <c r="B3" s="365"/>
      <c r="C3" s="365"/>
      <c r="D3" s="365"/>
      <c r="E3" s="365"/>
      <c r="F3" s="365"/>
      <c r="G3" s="365"/>
      <c r="H3" s="365"/>
      <c r="I3" s="366"/>
    </row>
    <row r="4" spans="1:11" s="4" customFormat="1" ht="15.75" x14ac:dyDescent="0.75">
      <c r="A4" s="365" t="s">
        <v>213</v>
      </c>
      <c r="B4" s="365"/>
      <c r="C4" s="365"/>
      <c r="D4" s="365"/>
      <c r="E4" s="365"/>
      <c r="F4" s="365"/>
      <c r="G4" s="365"/>
      <c r="H4" s="365"/>
      <c r="I4" s="366"/>
    </row>
    <row r="5" spans="1:11" s="4" customFormat="1" ht="15.5" thickBot="1" x14ac:dyDescent="0.9">
      <c r="A5" s="58"/>
      <c r="B5" s="59"/>
      <c r="C5" s="60"/>
      <c r="D5" s="280"/>
      <c r="E5" s="63"/>
      <c r="F5" s="59"/>
      <c r="G5" s="64"/>
      <c r="H5" s="64"/>
      <c r="I5" s="65"/>
    </row>
    <row r="6" spans="1:11" s="4" customFormat="1" ht="15.5" thickBot="1" x14ac:dyDescent="0.9">
      <c r="A6" s="281" t="s">
        <v>17</v>
      </c>
      <c r="B6" s="68" t="s">
        <v>18</v>
      </c>
      <c r="C6" s="69" t="s">
        <v>19</v>
      </c>
      <c r="D6" s="282" t="s">
        <v>214</v>
      </c>
      <c r="E6" s="73"/>
      <c r="F6" s="75" t="s">
        <v>215</v>
      </c>
      <c r="G6" s="76"/>
      <c r="H6" s="77"/>
      <c r="I6" s="78" t="s">
        <v>22</v>
      </c>
      <c r="K6" s="17"/>
    </row>
    <row r="7" spans="1:11" s="4" customFormat="1" x14ac:dyDescent="0.75">
      <c r="A7" s="283" t="s">
        <v>216</v>
      </c>
      <c r="B7" s="284"/>
      <c r="C7" s="285"/>
      <c r="D7" s="286"/>
      <c r="E7" s="287"/>
      <c r="F7" s="288"/>
      <c r="G7" s="76" t="s">
        <v>31</v>
      </c>
      <c r="H7" s="77" t="s">
        <v>32</v>
      </c>
      <c r="I7" s="78"/>
      <c r="K7" s="17"/>
    </row>
    <row r="8" spans="1:11" s="4" customFormat="1" x14ac:dyDescent="0.75">
      <c r="A8" s="289" t="s">
        <v>101</v>
      </c>
      <c r="B8" s="106" t="s">
        <v>86</v>
      </c>
      <c r="C8" s="290">
        <v>5000</v>
      </c>
      <c r="D8" s="109">
        <v>1</v>
      </c>
      <c r="E8" s="162"/>
      <c r="F8" s="114">
        <f t="shared" ref="F8:F13" si="0">D8*C8</f>
        <v>5000</v>
      </c>
      <c r="G8" s="76"/>
      <c r="H8" s="77"/>
      <c r="I8" s="78"/>
      <c r="K8" s="17"/>
    </row>
    <row r="9" spans="1:11" s="4" customFormat="1" x14ac:dyDescent="0.75">
      <c r="A9" s="289" t="s">
        <v>217</v>
      </c>
      <c r="B9" s="106" t="s">
        <v>86</v>
      </c>
      <c r="C9" s="290">
        <v>10000</v>
      </c>
      <c r="D9" s="109">
        <v>1</v>
      </c>
      <c r="E9" s="162"/>
      <c r="F9" s="114">
        <f t="shared" si="0"/>
        <v>10000</v>
      </c>
      <c r="G9" s="76"/>
      <c r="H9" s="77"/>
      <c r="I9" s="78"/>
      <c r="K9" s="17"/>
    </row>
    <row r="10" spans="1:11" s="4" customFormat="1" x14ac:dyDescent="0.75">
      <c r="A10" s="289" t="s">
        <v>33</v>
      </c>
      <c r="B10" s="106" t="s">
        <v>34</v>
      </c>
      <c r="C10" s="290">
        <v>350</v>
      </c>
      <c r="D10" s="115">
        <v>86</v>
      </c>
      <c r="E10" s="162" t="e">
        <f>D10+#REF!+#REF!</f>
        <v>#REF!</v>
      </c>
      <c r="F10" s="114">
        <f t="shared" si="0"/>
        <v>30100</v>
      </c>
      <c r="G10" s="101" t="e">
        <f>F10+#REF!+#REF!</f>
        <v>#REF!</v>
      </c>
      <c r="H10" s="102"/>
      <c r="I10" s="103"/>
      <c r="K10" s="17"/>
    </row>
    <row r="11" spans="1:11" s="4" customFormat="1" x14ac:dyDescent="0.75">
      <c r="A11" s="289" t="s">
        <v>35</v>
      </c>
      <c r="B11" s="106" t="s">
        <v>34</v>
      </c>
      <c r="C11" s="107">
        <v>350</v>
      </c>
      <c r="D11" s="115">
        <v>86</v>
      </c>
      <c r="E11" s="111" t="e">
        <f>D11+#REF!+#REF!</f>
        <v>#REF!</v>
      </c>
      <c r="F11" s="114">
        <f t="shared" si="0"/>
        <v>30100</v>
      </c>
      <c r="G11" s="101" t="e">
        <f>F11+#REF!+#REF!</f>
        <v>#REF!</v>
      </c>
      <c r="H11" s="102"/>
      <c r="I11" s="103"/>
      <c r="K11" s="17"/>
    </row>
    <row r="12" spans="1:11" s="4" customFormat="1" x14ac:dyDescent="0.75">
      <c r="A12" s="289" t="s">
        <v>79</v>
      </c>
      <c r="B12" s="106" t="s">
        <v>80</v>
      </c>
      <c r="C12" s="107">
        <v>10000</v>
      </c>
      <c r="D12" s="115">
        <v>1</v>
      </c>
      <c r="E12" s="111" t="e">
        <f>D12+#REF!+#REF!</f>
        <v>#REF!</v>
      </c>
      <c r="F12" s="114">
        <f t="shared" si="0"/>
        <v>10000</v>
      </c>
      <c r="G12" s="101" t="e">
        <f>F12+#REF!+#REF!</f>
        <v>#REF!</v>
      </c>
      <c r="H12" s="102"/>
      <c r="I12" s="103"/>
      <c r="K12" s="17"/>
    </row>
    <row r="13" spans="1:11" s="4" customFormat="1" x14ac:dyDescent="0.75">
      <c r="A13" s="289" t="s">
        <v>198</v>
      </c>
      <c r="B13" s="106" t="s">
        <v>63</v>
      </c>
      <c r="C13" s="107">
        <v>7500</v>
      </c>
      <c r="D13" s="115">
        <v>1</v>
      </c>
      <c r="E13" s="111"/>
      <c r="F13" s="114">
        <f t="shared" si="0"/>
        <v>7500</v>
      </c>
      <c r="G13" s="101"/>
      <c r="H13" s="102"/>
      <c r="I13" s="103"/>
      <c r="K13" s="17"/>
    </row>
    <row r="14" spans="1:11" s="4" customFormat="1" x14ac:dyDescent="0.75">
      <c r="A14" s="403"/>
      <c r="B14" s="404"/>
      <c r="C14" s="404"/>
      <c r="D14" s="404"/>
      <c r="E14" s="404"/>
      <c r="F14" s="405"/>
      <c r="G14" s="101"/>
      <c r="H14" s="102"/>
      <c r="I14" s="103"/>
      <c r="K14" s="17"/>
    </row>
    <row r="15" spans="1:11" s="4" customFormat="1" x14ac:dyDescent="0.75">
      <c r="A15" s="291" t="s">
        <v>218</v>
      </c>
      <c r="B15" s="292"/>
      <c r="C15" s="293"/>
      <c r="D15" s="294"/>
      <c r="E15" s="295"/>
      <c r="F15" s="296"/>
      <c r="G15" s="101"/>
      <c r="H15" s="102"/>
      <c r="I15" s="103"/>
      <c r="K15" s="17"/>
    </row>
    <row r="16" spans="1:11" s="4" customFormat="1" x14ac:dyDescent="0.75">
      <c r="A16" s="289" t="s">
        <v>41</v>
      </c>
      <c r="B16" s="106" t="s">
        <v>42</v>
      </c>
      <c r="C16" s="107">
        <v>12</v>
      </c>
      <c r="D16" s="115">
        <v>3860</v>
      </c>
      <c r="E16" s="111" t="e">
        <f>D16+#REF!+#REF!</f>
        <v>#REF!</v>
      </c>
      <c r="F16" s="114">
        <f t="shared" ref="F16:F26" si="1">D16*C16</f>
        <v>46320</v>
      </c>
      <c r="G16" s="101" t="e">
        <f>F16+#REF!+#REF!</f>
        <v>#REF!</v>
      </c>
      <c r="H16" s="102"/>
      <c r="I16" s="117" t="s">
        <v>219</v>
      </c>
      <c r="K16" s="17"/>
    </row>
    <row r="17" spans="1:11" s="4" customFormat="1" x14ac:dyDescent="0.75">
      <c r="A17" s="289" t="s">
        <v>220</v>
      </c>
      <c r="B17" s="106" t="s">
        <v>44</v>
      </c>
      <c r="C17" s="107">
        <v>16</v>
      </c>
      <c r="D17" s="115">
        <v>6400</v>
      </c>
      <c r="E17" s="111" t="e">
        <f>D17+#REF!+#REF!</f>
        <v>#REF!</v>
      </c>
      <c r="F17" s="114">
        <f t="shared" si="1"/>
        <v>102400</v>
      </c>
      <c r="G17" s="101" t="e">
        <f>F17+#REF!+#REF!</f>
        <v>#REF!</v>
      </c>
      <c r="H17" s="102"/>
      <c r="I17" s="103" t="s">
        <v>221</v>
      </c>
      <c r="K17" s="17"/>
    </row>
    <row r="18" spans="1:11" s="4" customFormat="1" x14ac:dyDescent="0.75">
      <c r="A18" s="297" t="s">
        <v>59</v>
      </c>
      <c r="B18" s="120" t="s">
        <v>37</v>
      </c>
      <c r="C18" s="121">
        <v>2</v>
      </c>
      <c r="D18" s="298">
        <v>9640</v>
      </c>
      <c r="E18" s="111" t="e">
        <f>D18+#REF!+#REF!</f>
        <v>#REF!</v>
      </c>
      <c r="F18" s="114">
        <f t="shared" si="1"/>
        <v>19280</v>
      </c>
      <c r="G18" s="101" t="e">
        <f>F18+#REF!+#REF!</f>
        <v>#REF!</v>
      </c>
      <c r="H18" s="102"/>
      <c r="I18" s="124" t="s">
        <v>222</v>
      </c>
      <c r="K18" s="17"/>
    </row>
    <row r="19" spans="1:11" s="41" customFormat="1" x14ac:dyDescent="0.75">
      <c r="A19" s="297" t="s">
        <v>60</v>
      </c>
      <c r="B19" s="120" t="s">
        <v>37</v>
      </c>
      <c r="C19" s="121">
        <v>0.4</v>
      </c>
      <c r="D19" s="298">
        <v>9640</v>
      </c>
      <c r="E19" s="299" t="e">
        <f>D19+#REF!+#REF!</f>
        <v>#REF!</v>
      </c>
      <c r="F19" s="114">
        <f t="shared" si="1"/>
        <v>3856</v>
      </c>
      <c r="G19" s="153" t="e">
        <f>F19+#REF!+#REF!</f>
        <v>#REF!</v>
      </c>
      <c r="H19" s="113"/>
      <c r="I19" s="124" t="s">
        <v>222</v>
      </c>
    </row>
    <row r="20" spans="1:11" s="4" customFormat="1" x14ac:dyDescent="0.75">
      <c r="A20" s="289" t="s">
        <v>223</v>
      </c>
      <c r="B20" s="106" t="s">
        <v>39</v>
      </c>
      <c r="C20" s="107">
        <v>2</v>
      </c>
      <c r="D20" s="115">
        <v>8671</v>
      </c>
      <c r="E20" s="111" t="e">
        <f>D20+#REF!+#REF!</f>
        <v>#REF!</v>
      </c>
      <c r="F20" s="114">
        <f t="shared" si="1"/>
        <v>17342</v>
      </c>
      <c r="G20" s="101" t="e">
        <f>F20+#REF!+#REF!</f>
        <v>#REF!</v>
      </c>
      <c r="H20" s="102"/>
      <c r="I20" s="103" t="s">
        <v>224</v>
      </c>
      <c r="K20" s="17"/>
    </row>
    <row r="21" spans="1:11" s="4" customFormat="1" x14ac:dyDescent="0.75">
      <c r="A21" s="289" t="s">
        <v>64</v>
      </c>
      <c r="B21" s="106" t="s">
        <v>63</v>
      </c>
      <c r="C21" s="107">
        <v>500</v>
      </c>
      <c r="D21" s="115">
        <v>13</v>
      </c>
      <c r="E21" s="111" t="e">
        <f>D21+#REF!+#REF!</f>
        <v>#REF!</v>
      </c>
      <c r="F21" s="114">
        <f t="shared" si="1"/>
        <v>6500</v>
      </c>
      <c r="G21" s="101" t="e">
        <f>F21+#REF!+#REF!</f>
        <v>#REF!</v>
      </c>
      <c r="H21" s="102"/>
      <c r="I21" s="103"/>
      <c r="K21" s="17"/>
    </row>
    <row r="22" spans="1:11" s="4" customFormat="1" x14ac:dyDescent="0.75">
      <c r="A22" s="289" t="s">
        <v>65</v>
      </c>
      <c r="B22" s="106" t="s">
        <v>66</v>
      </c>
      <c r="C22" s="107">
        <v>110</v>
      </c>
      <c r="D22" s="115">
        <v>6.0696999999999992</v>
      </c>
      <c r="E22" s="111" t="e">
        <f>D22+#REF!+#REF!</f>
        <v>#REF!</v>
      </c>
      <c r="F22" s="114">
        <f t="shared" si="1"/>
        <v>667.66699999999992</v>
      </c>
      <c r="G22" s="101" t="e">
        <f>F22+#REF!+#REF!</f>
        <v>#REF!</v>
      </c>
      <c r="H22" s="102"/>
      <c r="I22" s="103" t="s">
        <v>225</v>
      </c>
      <c r="K22" s="17"/>
    </row>
    <row r="23" spans="1:11" s="4" customFormat="1" x14ac:dyDescent="0.75">
      <c r="A23" s="289" t="s">
        <v>68</v>
      </c>
      <c r="B23" s="106" t="s">
        <v>69</v>
      </c>
      <c r="C23" s="107">
        <v>1.5</v>
      </c>
      <c r="D23" s="115">
        <v>530</v>
      </c>
      <c r="E23" s="111" t="e">
        <f>D23+#REF!+#REF!</f>
        <v>#REF!</v>
      </c>
      <c r="F23" s="114">
        <f t="shared" si="1"/>
        <v>795</v>
      </c>
      <c r="G23" s="101" t="e">
        <f>F23+#REF!+#REF!</f>
        <v>#REF!</v>
      </c>
      <c r="H23" s="102"/>
      <c r="I23" s="103"/>
      <c r="K23" s="17"/>
    </row>
    <row r="24" spans="1:11" s="4" customFormat="1" x14ac:dyDescent="0.75">
      <c r="A24" s="289" t="s">
        <v>226</v>
      </c>
      <c r="B24" s="106" t="s">
        <v>37</v>
      </c>
      <c r="C24" s="107">
        <v>3.5</v>
      </c>
      <c r="D24" s="115">
        <v>15420</v>
      </c>
      <c r="E24" s="111" t="e">
        <f>D24+#REF!+#REF!</f>
        <v>#REF!</v>
      </c>
      <c r="F24" s="114">
        <f t="shared" si="1"/>
        <v>53970</v>
      </c>
      <c r="G24" s="101" t="e">
        <f>F24+#REF!+#REF!</f>
        <v>#REF!</v>
      </c>
      <c r="H24" s="102"/>
      <c r="I24" s="103"/>
      <c r="K24" s="17"/>
    </row>
    <row r="25" spans="1:11" s="4" customFormat="1" ht="29.25" x14ac:dyDescent="0.75">
      <c r="A25" s="289" t="s">
        <v>81</v>
      </c>
      <c r="B25" s="106" t="s">
        <v>39</v>
      </c>
      <c r="C25" s="107">
        <v>21</v>
      </c>
      <c r="D25" s="115">
        <v>240</v>
      </c>
      <c r="E25" s="111" t="e">
        <f>D25+#REF!+#REF!</f>
        <v>#REF!</v>
      </c>
      <c r="F25" s="114">
        <f t="shared" si="1"/>
        <v>5040</v>
      </c>
      <c r="G25" s="101" t="e">
        <f>F25+#REF!+#REF!</f>
        <v>#REF!</v>
      </c>
      <c r="H25" s="102"/>
      <c r="I25" s="103"/>
      <c r="K25" s="17"/>
    </row>
    <row r="26" spans="1:11" s="4" customFormat="1" x14ac:dyDescent="0.75">
      <c r="A26" s="289" t="s">
        <v>227</v>
      </c>
      <c r="B26" s="106" t="s">
        <v>63</v>
      </c>
      <c r="C26" s="290">
        <v>30000</v>
      </c>
      <c r="D26" s="115">
        <v>2</v>
      </c>
      <c r="E26" s="162"/>
      <c r="F26" s="114">
        <f t="shared" si="1"/>
        <v>60000</v>
      </c>
      <c r="G26" s="101"/>
      <c r="H26" s="102"/>
      <c r="I26" s="103"/>
      <c r="K26" s="17"/>
    </row>
    <row r="27" spans="1:11" s="4" customFormat="1" ht="15.5" thickBot="1" x14ac:dyDescent="0.9">
      <c r="A27" s="300"/>
      <c r="B27" s="59"/>
      <c r="C27" s="301"/>
      <c r="D27" s="280"/>
      <c r="E27" s="302"/>
      <c r="F27" s="303"/>
      <c r="G27" s="101"/>
      <c r="H27" s="102"/>
      <c r="I27" s="103"/>
      <c r="K27" s="17"/>
    </row>
    <row r="28" spans="1:11" s="4" customFormat="1" ht="15.75" customHeight="1" thickBot="1" x14ac:dyDescent="0.9">
      <c r="A28" s="304" t="s">
        <v>84</v>
      </c>
      <c r="B28" s="305"/>
      <c r="C28" s="305"/>
      <c r="D28" s="306"/>
      <c r="E28" s="305"/>
      <c r="F28" s="307"/>
      <c r="G28" s="101"/>
      <c r="H28" s="102"/>
      <c r="I28" s="117"/>
      <c r="K28" s="17"/>
    </row>
    <row r="29" spans="1:11" s="4" customFormat="1" x14ac:dyDescent="0.75">
      <c r="A29" s="308" t="s">
        <v>228</v>
      </c>
      <c r="B29" s="92" t="s">
        <v>86</v>
      </c>
      <c r="C29" s="93">
        <v>15000</v>
      </c>
      <c r="D29" s="95">
        <v>1</v>
      </c>
      <c r="E29" s="97" t="e">
        <f>D29+#REF!+#REF!</f>
        <v>#REF!</v>
      </c>
      <c r="F29" s="100">
        <f>D29*C29</f>
        <v>15000</v>
      </c>
      <c r="G29" s="101" t="e">
        <f>F29+#REF!+#REF!</f>
        <v>#REF!</v>
      </c>
      <c r="H29" s="102"/>
      <c r="I29" s="103"/>
      <c r="K29" s="17"/>
    </row>
    <row r="30" spans="1:11" s="4" customFormat="1" x14ac:dyDescent="0.75">
      <c r="A30" s="289" t="s">
        <v>229</v>
      </c>
      <c r="B30" s="106" t="s">
        <v>86</v>
      </c>
      <c r="C30" s="107">
        <v>40000</v>
      </c>
      <c r="D30" s="109">
        <v>1</v>
      </c>
      <c r="E30" s="111" t="e">
        <f>D30+#REF!+#REF!</f>
        <v>#REF!</v>
      </c>
      <c r="F30" s="114">
        <f>D30*C30</f>
        <v>40000</v>
      </c>
      <c r="G30" s="101" t="e">
        <f>F30+#REF!+#REF!</f>
        <v>#REF!</v>
      </c>
      <c r="H30" s="102"/>
      <c r="I30" s="103"/>
      <c r="K30" s="17"/>
    </row>
    <row r="31" spans="1:11" ht="15.5" thickBot="1" x14ac:dyDescent="0.9">
      <c r="A31" s="309"/>
      <c r="B31" s="310"/>
      <c r="C31" s="311"/>
      <c r="D31" s="312" t="s">
        <v>230</v>
      </c>
      <c r="E31" s="313"/>
      <c r="F31" s="314">
        <f>SUM(F8:F30)</f>
        <v>463870.66700000002</v>
      </c>
      <c r="G31" s="178"/>
      <c r="H31" s="178"/>
      <c r="I31" s="43"/>
    </row>
    <row r="32" spans="1:11" x14ac:dyDescent="0.75">
      <c r="A32" s="172"/>
      <c r="B32" s="53"/>
      <c r="C32" s="173"/>
      <c r="D32" s="315"/>
      <c r="E32" s="176"/>
      <c r="F32" s="53"/>
      <c r="G32" s="178"/>
      <c r="H32" s="178"/>
      <c r="I32" s="43"/>
    </row>
    <row r="33" spans="1:11" ht="15.5" thickBot="1" x14ac:dyDescent="0.9">
      <c r="A33" s="172"/>
      <c r="B33" s="53"/>
      <c r="C33" s="173"/>
      <c r="D33" s="315"/>
      <c r="E33" s="176"/>
      <c r="F33" s="53"/>
      <c r="G33" s="178"/>
      <c r="H33" s="178"/>
      <c r="I33" s="43"/>
    </row>
    <row r="34" spans="1:11" ht="15.5" thickBot="1" x14ac:dyDescent="0.9">
      <c r="A34" s="172"/>
      <c r="B34" s="406" t="s">
        <v>231</v>
      </c>
      <c r="C34" s="407"/>
      <c r="D34" s="407"/>
      <c r="E34" s="407"/>
      <c r="F34" s="408"/>
      <c r="G34" s="178"/>
      <c r="H34" s="178"/>
      <c r="I34" s="43"/>
    </row>
    <row r="35" spans="1:11" x14ac:dyDescent="0.75">
      <c r="A35" s="172"/>
      <c r="B35" s="391" t="s">
        <v>107</v>
      </c>
      <c r="C35" s="392"/>
      <c r="D35" s="393"/>
      <c r="E35" s="316"/>
      <c r="F35" s="317">
        <f>F31</f>
        <v>463870.66700000002</v>
      </c>
      <c r="G35" s="191"/>
      <c r="H35" s="191"/>
      <c r="I35" s="192"/>
      <c r="K35" s="28"/>
    </row>
    <row r="36" spans="1:11" x14ac:dyDescent="0.75">
      <c r="A36" s="172"/>
      <c r="B36" s="388" t="s">
        <v>108</v>
      </c>
      <c r="C36" s="389"/>
      <c r="D36" s="389"/>
      <c r="E36" s="390"/>
      <c r="F36" s="318">
        <f>F31*0.1</f>
        <v>46387.066700000003</v>
      </c>
      <c r="G36" s="191"/>
      <c r="H36" s="191"/>
      <c r="I36" s="192"/>
      <c r="K36" s="28"/>
    </row>
    <row r="37" spans="1:11" x14ac:dyDescent="0.75">
      <c r="A37" s="172"/>
      <c r="B37" s="391" t="s">
        <v>109</v>
      </c>
      <c r="C37" s="392"/>
      <c r="D37" s="392"/>
      <c r="E37" s="393"/>
      <c r="F37" s="319">
        <f>F35+F36</f>
        <v>510257.73370000004</v>
      </c>
      <c r="G37" s="191"/>
      <c r="H37" s="191"/>
      <c r="I37" s="192"/>
      <c r="K37" s="28"/>
    </row>
    <row r="38" spans="1:11" x14ac:dyDescent="0.75">
      <c r="A38" s="198"/>
      <c r="B38" s="394" t="s">
        <v>246</v>
      </c>
      <c r="C38" s="395"/>
      <c r="D38" s="396"/>
      <c r="E38" s="202" t="s">
        <v>232</v>
      </c>
      <c r="F38" s="320">
        <f>F37*0.23</f>
        <v>117359.27875100002</v>
      </c>
      <c r="G38" s="206"/>
      <c r="H38" s="206"/>
      <c r="I38" s="207"/>
      <c r="K38" s="28"/>
    </row>
    <row r="39" spans="1:11" x14ac:dyDescent="0.75">
      <c r="A39" s="198"/>
      <c r="B39" s="397" t="s">
        <v>247</v>
      </c>
      <c r="C39" s="398"/>
      <c r="D39" s="399"/>
      <c r="E39" s="209" t="s">
        <v>233</v>
      </c>
      <c r="F39" s="321">
        <f>F37*0.14</f>
        <v>71436.08271800002</v>
      </c>
      <c r="G39" s="213"/>
      <c r="H39" s="213"/>
      <c r="I39" s="214"/>
      <c r="K39" s="28"/>
    </row>
    <row r="40" spans="1:11" ht="15.5" thickBot="1" x14ac:dyDescent="0.9">
      <c r="A40" s="198"/>
      <c r="B40" s="400" t="s">
        <v>112</v>
      </c>
      <c r="C40" s="401"/>
      <c r="D40" s="401"/>
      <c r="E40" s="402"/>
      <c r="F40" s="322">
        <f>SUM(F37:F39)</f>
        <v>699053.09516900009</v>
      </c>
      <c r="G40" s="206"/>
      <c r="H40" s="206"/>
      <c r="I40" s="214"/>
      <c r="K40" s="28"/>
    </row>
    <row r="41" spans="1:11" x14ac:dyDescent="0.75">
      <c r="C41" s="40"/>
      <c r="D41" s="39"/>
      <c r="E41" s="38"/>
      <c r="F41" s="22"/>
      <c r="G41" s="37"/>
      <c r="H41" s="37"/>
      <c r="I41" s="36"/>
      <c r="K41" s="28"/>
    </row>
    <row r="42" spans="1:11" x14ac:dyDescent="0.75">
      <c r="B42" s="16"/>
      <c r="C42" s="35"/>
      <c r="D42" s="34"/>
      <c r="E42" s="33"/>
      <c r="F42" s="32"/>
      <c r="G42" s="31"/>
      <c r="H42" s="31"/>
      <c r="I42" s="30"/>
      <c r="K42" s="28"/>
    </row>
    <row r="43" spans="1:11" x14ac:dyDescent="0.75">
      <c r="K43" s="28"/>
    </row>
    <row r="44" spans="1:11" x14ac:dyDescent="0.75">
      <c r="K44" s="28"/>
    </row>
    <row r="45" spans="1:11" x14ac:dyDescent="0.75">
      <c r="K45" s="28"/>
    </row>
    <row r="46" spans="1:11" x14ac:dyDescent="0.75">
      <c r="K46" s="28"/>
    </row>
    <row r="47" spans="1:11" x14ac:dyDescent="0.75">
      <c r="K47" s="28"/>
    </row>
    <row r="48" spans="1:11" x14ac:dyDescent="0.75">
      <c r="K48" s="28"/>
    </row>
    <row r="49" spans="11:11" x14ac:dyDescent="0.75">
      <c r="K49" s="28"/>
    </row>
    <row r="50" spans="11:11" x14ac:dyDescent="0.75">
      <c r="K50" s="28"/>
    </row>
    <row r="51" spans="11:11" x14ac:dyDescent="0.75">
      <c r="K51" s="28"/>
    </row>
    <row r="52" spans="11:11" x14ac:dyDescent="0.75">
      <c r="K52" s="28"/>
    </row>
    <row r="53" spans="11:11" x14ac:dyDescent="0.75">
      <c r="K53" s="28"/>
    </row>
    <row r="54" spans="11:11" x14ac:dyDescent="0.75">
      <c r="K54" s="28"/>
    </row>
    <row r="55" spans="11:11" x14ac:dyDescent="0.75">
      <c r="K55" s="28"/>
    </row>
    <row r="56" spans="11:11" x14ac:dyDescent="0.75">
      <c r="K56" s="28"/>
    </row>
    <row r="57" spans="11:11" x14ac:dyDescent="0.75">
      <c r="K57" s="28"/>
    </row>
    <row r="58" spans="11:11" x14ac:dyDescent="0.75">
      <c r="K58" s="28"/>
    </row>
    <row r="59" spans="11:11" x14ac:dyDescent="0.75">
      <c r="K59" s="28"/>
    </row>
    <row r="60" spans="11:11" x14ac:dyDescent="0.75">
      <c r="K60" s="28"/>
    </row>
    <row r="61" spans="11:11" x14ac:dyDescent="0.75">
      <c r="K61" s="28"/>
    </row>
    <row r="62" spans="11:11" x14ac:dyDescent="0.75">
      <c r="K62" s="28"/>
    </row>
    <row r="63" spans="11:11" x14ac:dyDescent="0.75">
      <c r="K63" s="28"/>
    </row>
    <row r="64" spans="11:11" x14ac:dyDescent="0.75">
      <c r="K64" s="28"/>
    </row>
    <row r="65" spans="11:11" x14ac:dyDescent="0.75">
      <c r="K65" s="28"/>
    </row>
    <row r="66" spans="11:11" x14ac:dyDescent="0.75">
      <c r="K66" s="28"/>
    </row>
    <row r="67" spans="11:11" x14ac:dyDescent="0.75">
      <c r="K67" s="28"/>
    </row>
    <row r="68" spans="11:11" x14ac:dyDescent="0.75">
      <c r="K68" s="28"/>
    </row>
    <row r="69" spans="11:11" x14ac:dyDescent="0.75">
      <c r="K69" s="28"/>
    </row>
    <row r="70" spans="11:11" x14ac:dyDescent="0.75">
      <c r="K70" s="28"/>
    </row>
    <row r="71" spans="11:11" x14ac:dyDescent="0.75">
      <c r="K71" s="28"/>
    </row>
    <row r="72" spans="11:11" x14ac:dyDescent="0.75">
      <c r="K72" s="28"/>
    </row>
    <row r="73" spans="11:11" x14ac:dyDescent="0.75">
      <c r="K73" s="28"/>
    </row>
    <row r="74" spans="11:11" x14ac:dyDescent="0.75">
      <c r="K74" s="28"/>
    </row>
    <row r="75" spans="11:11" x14ac:dyDescent="0.75">
      <c r="K75" s="28"/>
    </row>
    <row r="76" spans="11:11" x14ac:dyDescent="0.75">
      <c r="K76" s="28"/>
    </row>
    <row r="77" spans="11:11" x14ac:dyDescent="0.75">
      <c r="K77" s="28"/>
    </row>
    <row r="78" spans="11:11" x14ac:dyDescent="0.75">
      <c r="K78" s="28"/>
    </row>
    <row r="79" spans="11:11" x14ac:dyDescent="0.75">
      <c r="K79" s="28"/>
    </row>
    <row r="80" spans="11:11" x14ac:dyDescent="0.75">
      <c r="K80" s="28"/>
    </row>
    <row r="81" spans="11:11" x14ac:dyDescent="0.75">
      <c r="K81" s="28"/>
    </row>
    <row r="82" spans="11:11" x14ac:dyDescent="0.75">
      <c r="K82" s="28"/>
    </row>
    <row r="83" spans="11:11" x14ac:dyDescent="0.75">
      <c r="K83" s="28"/>
    </row>
    <row r="84" spans="11:11" x14ac:dyDescent="0.75">
      <c r="K84" s="28"/>
    </row>
    <row r="85" spans="11:11" x14ac:dyDescent="0.75">
      <c r="K85" s="28"/>
    </row>
    <row r="86" spans="11:11" x14ac:dyDescent="0.75">
      <c r="K86" s="28"/>
    </row>
    <row r="87" spans="11:11" x14ac:dyDescent="0.75">
      <c r="K87" s="28"/>
    </row>
    <row r="88" spans="11:11" x14ac:dyDescent="0.75">
      <c r="K88" s="28"/>
    </row>
    <row r="89" spans="11:11" x14ac:dyDescent="0.75">
      <c r="K89" s="28"/>
    </row>
    <row r="90" spans="11:11" x14ac:dyDescent="0.75">
      <c r="K90" s="28"/>
    </row>
    <row r="91" spans="11:11" x14ac:dyDescent="0.75">
      <c r="K91" s="28"/>
    </row>
    <row r="92" spans="11:11" x14ac:dyDescent="0.75">
      <c r="K92" s="28"/>
    </row>
    <row r="93" spans="11:11" x14ac:dyDescent="0.75">
      <c r="K93" s="28"/>
    </row>
    <row r="94" spans="11:11" x14ac:dyDescent="0.75">
      <c r="K94" s="28"/>
    </row>
    <row r="95" spans="11:11" x14ac:dyDescent="0.75">
      <c r="K95" s="28"/>
    </row>
    <row r="96" spans="11:11" x14ac:dyDescent="0.75">
      <c r="K96" s="28"/>
    </row>
    <row r="97" spans="11:11" x14ac:dyDescent="0.75">
      <c r="K97" s="28"/>
    </row>
    <row r="98" spans="11:11" x14ac:dyDescent="0.75">
      <c r="K98" s="28"/>
    </row>
    <row r="99" spans="11:11" x14ac:dyDescent="0.75">
      <c r="K99" s="28"/>
    </row>
    <row r="100" spans="11:11" x14ac:dyDescent="0.75">
      <c r="K100" s="28"/>
    </row>
    <row r="101" spans="11:11" x14ac:dyDescent="0.75">
      <c r="K101" s="28"/>
    </row>
    <row r="102" spans="11:11" x14ac:dyDescent="0.75">
      <c r="K102" s="28"/>
    </row>
    <row r="103" spans="11:11" x14ac:dyDescent="0.75">
      <c r="K103" s="28"/>
    </row>
    <row r="104" spans="11:11" x14ac:dyDescent="0.75">
      <c r="K104" s="28"/>
    </row>
    <row r="105" spans="11:11" x14ac:dyDescent="0.75">
      <c r="K105" s="28"/>
    </row>
    <row r="106" spans="11:11" x14ac:dyDescent="0.75">
      <c r="K106" s="28"/>
    </row>
    <row r="107" spans="11:11" x14ac:dyDescent="0.75">
      <c r="K107" s="28"/>
    </row>
    <row r="108" spans="11:11" x14ac:dyDescent="0.75">
      <c r="K108" s="28"/>
    </row>
    <row r="109" spans="11:11" x14ac:dyDescent="0.75">
      <c r="K109" s="28"/>
    </row>
    <row r="110" spans="11:11" x14ac:dyDescent="0.75">
      <c r="K110" s="28"/>
    </row>
    <row r="111" spans="11:11" x14ac:dyDescent="0.75">
      <c r="K111" s="28"/>
    </row>
    <row r="112" spans="11:11" x14ac:dyDescent="0.75">
      <c r="K112" s="28"/>
    </row>
    <row r="113" spans="11:11" x14ac:dyDescent="0.75">
      <c r="K113" s="28"/>
    </row>
    <row r="114" spans="11:11" x14ac:dyDescent="0.75">
      <c r="K114" s="28"/>
    </row>
    <row r="115" spans="11:11" x14ac:dyDescent="0.75">
      <c r="K115" s="28"/>
    </row>
    <row r="116" spans="11:11" x14ac:dyDescent="0.75">
      <c r="K116" s="28"/>
    </row>
    <row r="117" spans="11:11" x14ac:dyDescent="0.75">
      <c r="K117" s="28"/>
    </row>
    <row r="118" spans="11:11" x14ac:dyDescent="0.75">
      <c r="K118" s="28"/>
    </row>
    <row r="119" spans="11:11" x14ac:dyDescent="0.75">
      <c r="K119" s="28"/>
    </row>
    <row r="120" spans="11:11" x14ac:dyDescent="0.75">
      <c r="K120" s="28"/>
    </row>
    <row r="121" spans="11:11" x14ac:dyDescent="0.75">
      <c r="K121" s="28"/>
    </row>
    <row r="122" spans="11:11" x14ac:dyDescent="0.75">
      <c r="K122" s="28"/>
    </row>
    <row r="123" spans="11:11" x14ac:dyDescent="0.75">
      <c r="K123" s="28"/>
    </row>
    <row r="124" spans="11:11" x14ac:dyDescent="0.75">
      <c r="K124" s="28"/>
    </row>
    <row r="125" spans="11:11" x14ac:dyDescent="0.75">
      <c r="K125" s="28"/>
    </row>
    <row r="126" spans="11:11" x14ac:dyDescent="0.75">
      <c r="K126" s="28"/>
    </row>
    <row r="127" spans="11:11" x14ac:dyDescent="0.75">
      <c r="K127" s="28"/>
    </row>
    <row r="128" spans="11:11" x14ac:dyDescent="0.75">
      <c r="K128" s="28"/>
    </row>
    <row r="129" spans="11:11" x14ac:dyDescent="0.75">
      <c r="K129" s="28"/>
    </row>
    <row r="130" spans="11:11" x14ac:dyDescent="0.75">
      <c r="K130" s="28"/>
    </row>
    <row r="131" spans="11:11" x14ac:dyDescent="0.75">
      <c r="K131" s="28"/>
    </row>
    <row r="132" spans="11:11" x14ac:dyDescent="0.75">
      <c r="K132" s="28"/>
    </row>
    <row r="133" spans="11:11" x14ac:dyDescent="0.75">
      <c r="K133" s="28"/>
    </row>
    <row r="134" spans="11:11" x14ac:dyDescent="0.75">
      <c r="K134" s="28"/>
    </row>
    <row r="135" spans="11:11" x14ac:dyDescent="0.75">
      <c r="K135" s="28"/>
    </row>
    <row r="136" spans="11:11" x14ac:dyDescent="0.75">
      <c r="K136" s="28"/>
    </row>
    <row r="137" spans="11:11" x14ac:dyDescent="0.75">
      <c r="K137" s="28"/>
    </row>
    <row r="138" spans="11:11" x14ac:dyDescent="0.75">
      <c r="K138" s="28"/>
    </row>
    <row r="139" spans="11:11" x14ac:dyDescent="0.75">
      <c r="K139" s="28"/>
    </row>
    <row r="140" spans="11:11" x14ac:dyDescent="0.75">
      <c r="K140" s="28"/>
    </row>
    <row r="141" spans="11:11" x14ac:dyDescent="0.75">
      <c r="K141" s="28"/>
    </row>
    <row r="142" spans="11:11" x14ac:dyDescent="0.75">
      <c r="K142" s="28"/>
    </row>
    <row r="143" spans="11:11" x14ac:dyDescent="0.75">
      <c r="K143" s="28"/>
    </row>
    <row r="144" spans="11:11" x14ac:dyDescent="0.75">
      <c r="K144" s="28"/>
    </row>
    <row r="145" spans="11:11" x14ac:dyDescent="0.75">
      <c r="K145" s="28"/>
    </row>
    <row r="146" spans="11:11" x14ac:dyDescent="0.75">
      <c r="K146" s="28"/>
    </row>
    <row r="147" spans="11:11" x14ac:dyDescent="0.75">
      <c r="K147" s="28"/>
    </row>
    <row r="148" spans="11:11" x14ac:dyDescent="0.75">
      <c r="K148" s="28"/>
    </row>
    <row r="149" spans="11:11" x14ac:dyDescent="0.75">
      <c r="K149" s="28"/>
    </row>
    <row r="150" spans="11:11" x14ac:dyDescent="0.75">
      <c r="K150" s="28"/>
    </row>
    <row r="151" spans="11:11" x14ac:dyDescent="0.75">
      <c r="K151" s="28"/>
    </row>
  </sheetData>
  <mergeCells count="11">
    <mergeCell ref="A14:F14"/>
    <mergeCell ref="A2:I2"/>
    <mergeCell ref="A3:I3"/>
    <mergeCell ref="A4:I4"/>
    <mergeCell ref="B35:D35"/>
    <mergeCell ref="B34:F34"/>
    <mergeCell ref="B36:E36"/>
    <mergeCell ref="B37:E37"/>
    <mergeCell ref="B38:D38"/>
    <mergeCell ref="B39:D39"/>
    <mergeCell ref="B40:E40"/>
  </mergeCells>
  <printOptions horizontalCentered="1"/>
  <pageMargins left="0.7" right="0.7" top="0.5" bottom="0.5" header="0.3" footer="0.3"/>
  <pageSetup scale="8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SF424C</vt:lpstr>
      <vt:lpstr>Summary</vt:lpstr>
      <vt:lpstr>Year by Year</vt:lpstr>
      <vt:lpstr>Pathway to Wellness</vt:lpstr>
      <vt:lpstr>Hwy 8 Re-Grade</vt:lpstr>
      <vt:lpstr>Stone Lake Pathway</vt:lpstr>
      <vt:lpstr>Stone Lake ATV Trail</vt:lpstr>
      <vt:lpstr>'Hwy 8 Re-Grade'!Print_Area</vt:lpstr>
      <vt:lpstr>'Pathway to Wellness'!Print_Area</vt:lpstr>
      <vt:lpstr>'Stone Lake ATV Trail'!Print_Area</vt:lpstr>
    </vt:vector>
  </TitlesOfParts>
  <Manager/>
  <Company>Forest County Potawatomi Community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Behnke</dc:creator>
  <cp:keywords/>
  <dc:description/>
  <cp:lastModifiedBy>Colette Nelson</cp:lastModifiedBy>
  <cp:revision/>
  <cp:lastPrinted>2022-04-11T16:09:05Z</cp:lastPrinted>
  <dcterms:created xsi:type="dcterms:W3CDTF">2019-11-20T21:40:04Z</dcterms:created>
  <dcterms:modified xsi:type="dcterms:W3CDTF">2022-04-11T16:22:01Z</dcterms:modified>
  <cp:category/>
  <cp:contentStatus/>
</cp:coreProperties>
</file>